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nicolasba\Desktop\María Alejandra Salazar Moreno\"/>
    </mc:Choice>
  </mc:AlternateContent>
  <xr:revisionPtr revIDLastSave="0" documentId="8_{0E531324-0045-4C33-B1D0-430757B50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gredientes " sheetId="1" r:id="rId1"/>
    <sheet name="Merengue de Albahaca Morada" sheetId="2" r:id="rId2"/>
    <sheet name="Mousse de chocolate" sheetId="3" r:id="rId3"/>
    <sheet name="Coulis de Lulo y Fresa" sheetId="4" r:id="rId4"/>
    <sheet name="Jengibre confitado" sheetId="5" r:id="rId5"/>
    <sheet name="Lulo macerado con almíbar de ag" sheetId="6" r:id="rId6"/>
    <sheet name="Fresa macerada con almíbar de a" sheetId="7" r:id="rId7"/>
    <sheet name="Plato Estandarizado " sheetId="8" r:id="rId8"/>
    <sheet name="Ingrediente cena  " sheetId="9" r:id="rId9"/>
    <sheet name="Entrada" sheetId="10" r:id="rId10"/>
    <sheet name="Plato fuerte " sheetId="11" r:id="rId11"/>
    <sheet name="Limonada gasificada" sheetId="12" r:id="rId12"/>
    <sheet name="Sangría" sheetId="13" r:id="rId13"/>
    <sheet name="Latte con chocolate" sheetId="14" r:id="rId14"/>
    <sheet name="Costo total cena " sheetId="15" r:id="rId15"/>
    <sheet name="Costos finales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6" l="1"/>
  <c r="F8" i="16"/>
  <c r="J3" i="16"/>
  <c r="H3" i="16"/>
  <c r="B3" i="16"/>
  <c r="E3" i="16" s="1"/>
  <c r="A3" i="16"/>
  <c r="D29" i="15"/>
  <c r="C29" i="15"/>
  <c r="E28" i="15"/>
  <c r="B28" i="15"/>
  <c r="B27" i="15"/>
  <c r="E27" i="15" s="1"/>
  <c r="E26" i="15"/>
  <c r="B26" i="15"/>
  <c r="E25" i="15"/>
  <c r="B25" i="15"/>
  <c r="E24" i="15"/>
  <c r="E23" i="15"/>
  <c r="B22" i="15"/>
  <c r="E22" i="15" s="1"/>
  <c r="I21" i="15"/>
  <c r="E21" i="15"/>
  <c r="B21" i="15"/>
  <c r="I20" i="15"/>
  <c r="E20" i="15"/>
  <c r="B20" i="15"/>
  <c r="I19" i="15"/>
  <c r="E19" i="15"/>
  <c r="B19" i="15"/>
  <c r="I18" i="15"/>
  <c r="E18" i="15"/>
  <c r="B18" i="15"/>
  <c r="D12" i="14"/>
  <c r="B16" i="14" s="1"/>
  <c r="H9" i="14"/>
  <c r="J9" i="14" s="1"/>
  <c r="G9" i="14"/>
  <c r="F9" i="14"/>
  <c r="I9" i="14" s="1"/>
  <c r="H8" i="14"/>
  <c r="J8" i="14" s="1"/>
  <c r="G8" i="14"/>
  <c r="F8" i="14"/>
  <c r="I8" i="14" s="1"/>
  <c r="H7" i="14"/>
  <c r="J7" i="14" s="1"/>
  <c r="G7" i="14"/>
  <c r="F7" i="14"/>
  <c r="I7" i="14" s="1"/>
  <c r="H6" i="14"/>
  <c r="J6" i="14" s="1"/>
  <c r="G6" i="14"/>
  <c r="F6" i="14"/>
  <c r="I6" i="14" s="1"/>
  <c r="H5" i="14"/>
  <c r="J5" i="14" s="1"/>
  <c r="G5" i="14"/>
  <c r="F5" i="14"/>
  <c r="I5" i="14" s="1"/>
  <c r="D10" i="13"/>
  <c r="B14" i="13" s="1"/>
  <c r="H7" i="13"/>
  <c r="K7" i="13" s="1"/>
  <c r="L7" i="13" s="1"/>
  <c r="G7" i="13"/>
  <c r="F7" i="13"/>
  <c r="I7" i="13" s="1"/>
  <c r="G6" i="13"/>
  <c r="F6" i="13"/>
  <c r="D6" i="13"/>
  <c r="G5" i="13"/>
  <c r="F5" i="13"/>
  <c r="D12" i="12"/>
  <c r="B16" i="12" s="1"/>
  <c r="G9" i="12"/>
  <c r="F9" i="12"/>
  <c r="G8" i="12"/>
  <c r="F8" i="12"/>
  <c r="G7" i="12"/>
  <c r="F7" i="12"/>
  <c r="G6" i="12"/>
  <c r="F6" i="12"/>
  <c r="I6" i="12" s="1"/>
  <c r="D6" i="12"/>
  <c r="H5" i="12"/>
  <c r="J5" i="12" s="1"/>
  <c r="G5" i="12"/>
  <c r="F5" i="12"/>
  <c r="I5" i="12" s="1"/>
  <c r="D20" i="11"/>
  <c r="B24" i="11" s="1"/>
  <c r="H16" i="11"/>
  <c r="K16" i="11" s="1"/>
  <c r="L16" i="11" s="1"/>
  <c r="G16" i="11"/>
  <c r="F16" i="11"/>
  <c r="I16" i="11" s="1"/>
  <c r="G15" i="11"/>
  <c r="F15" i="11"/>
  <c r="K14" i="11"/>
  <c r="L14" i="11" s="1"/>
  <c r="J14" i="11"/>
  <c r="I14" i="11"/>
  <c r="G14" i="11"/>
  <c r="F14" i="11"/>
  <c r="H13" i="11"/>
  <c r="J13" i="11" s="1"/>
  <c r="G13" i="11"/>
  <c r="F13" i="11"/>
  <c r="I13" i="11" s="1"/>
  <c r="H12" i="11"/>
  <c r="J12" i="11" s="1"/>
  <c r="G12" i="11"/>
  <c r="F12" i="11"/>
  <c r="I12" i="11" s="1"/>
  <c r="H11" i="11"/>
  <c r="J11" i="11" s="1"/>
  <c r="G11" i="11"/>
  <c r="F11" i="11"/>
  <c r="I11" i="11" s="1"/>
  <c r="H10" i="11"/>
  <c r="J10" i="11" s="1"/>
  <c r="G10" i="11"/>
  <c r="F10" i="11"/>
  <c r="I10" i="11" s="1"/>
  <c r="H9" i="11"/>
  <c r="J9" i="11" s="1"/>
  <c r="G9" i="11"/>
  <c r="F9" i="11"/>
  <c r="I9" i="11" s="1"/>
  <c r="H8" i="11"/>
  <c r="J8" i="11" s="1"/>
  <c r="G8" i="11"/>
  <c r="F8" i="11"/>
  <c r="I8" i="11" s="1"/>
  <c r="H7" i="11"/>
  <c r="J7" i="11" s="1"/>
  <c r="G7" i="11"/>
  <c r="F7" i="11"/>
  <c r="I7" i="11" s="1"/>
  <c r="H6" i="11"/>
  <c r="H20" i="11" s="1"/>
  <c r="G6" i="11"/>
  <c r="F6" i="11"/>
  <c r="I6" i="11" s="1"/>
  <c r="D6" i="11"/>
  <c r="J6" i="11" s="1"/>
  <c r="I5" i="11"/>
  <c r="H5" i="11"/>
  <c r="K5" i="11" s="1"/>
  <c r="G5" i="11"/>
  <c r="F5" i="11"/>
  <c r="D33" i="10"/>
  <c r="B37" i="10" s="1"/>
  <c r="I30" i="10"/>
  <c r="H30" i="10"/>
  <c r="K30" i="10" s="1"/>
  <c r="L30" i="10" s="1"/>
  <c r="G30" i="10"/>
  <c r="F30" i="10"/>
  <c r="I29" i="10"/>
  <c r="H29" i="10"/>
  <c r="K29" i="10" s="1"/>
  <c r="L29" i="10" s="1"/>
  <c r="G29" i="10"/>
  <c r="F29" i="10"/>
  <c r="I28" i="10"/>
  <c r="H28" i="10"/>
  <c r="K28" i="10" s="1"/>
  <c r="L28" i="10" s="1"/>
  <c r="G28" i="10"/>
  <c r="F28" i="10"/>
  <c r="I27" i="10"/>
  <c r="H27" i="10"/>
  <c r="K27" i="10" s="1"/>
  <c r="G27" i="10"/>
  <c r="F27" i="10"/>
  <c r="D16" i="10"/>
  <c r="B20" i="10" s="1"/>
  <c r="H13" i="10"/>
  <c r="J13" i="10" s="1"/>
  <c r="G13" i="10"/>
  <c r="F13" i="10"/>
  <c r="I13" i="10" s="1"/>
  <c r="H12" i="10"/>
  <c r="J12" i="10" s="1"/>
  <c r="G12" i="10"/>
  <c r="F12" i="10"/>
  <c r="I12" i="10" s="1"/>
  <c r="G11" i="10"/>
  <c r="F11" i="10"/>
  <c r="H10" i="10"/>
  <c r="J10" i="10" s="1"/>
  <c r="G10" i="10"/>
  <c r="F10" i="10"/>
  <c r="I10" i="10" s="1"/>
  <c r="H9" i="10"/>
  <c r="J9" i="10" s="1"/>
  <c r="G9" i="10"/>
  <c r="F9" i="10"/>
  <c r="I9" i="10" s="1"/>
  <c r="H8" i="10"/>
  <c r="J8" i="10" s="1"/>
  <c r="G8" i="10"/>
  <c r="F8" i="10"/>
  <c r="I8" i="10" s="1"/>
  <c r="H7" i="10"/>
  <c r="J7" i="10" s="1"/>
  <c r="G7" i="10"/>
  <c r="F7" i="10"/>
  <c r="I7" i="10" s="1"/>
  <c r="H6" i="10"/>
  <c r="K6" i="10" s="1"/>
  <c r="L6" i="10" s="1"/>
  <c r="G6" i="10"/>
  <c r="F6" i="10"/>
  <c r="I6" i="10" s="1"/>
  <c r="D6" i="10"/>
  <c r="J6" i="10" s="1"/>
  <c r="I5" i="10"/>
  <c r="H5" i="10"/>
  <c r="K5" i="10" s="1"/>
  <c r="G5" i="10"/>
  <c r="F5" i="10"/>
  <c r="B29" i="9"/>
  <c r="H8" i="12" s="1"/>
  <c r="B28" i="9"/>
  <c r="B27" i="9"/>
  <c r="B26" i="9"/>
  <c r="B25" i="9"/>
  <c r="H5" i="13" s="1"/>
  <c r="B24" i="9"/>
  <c r="H9" i="12" s="1"/>
  <c r="B23" i="9"/>
  <c r="H7" i="12" s="1"/>
  <c r="B22" i="9"/>
  <c r="H6" i="12" s="1"/>
  <c r="K6" i="12" s="1"/>
  <c r="L6" i="12" s="1"/>
  <c r="B21" i="9"/>
  <c r="H6" i="13" s="1"/>
  <c r="K6" i="13" s="1"/>
  <c r="L6" i="13" s="1"/>
  <c r="B20" i="9"/>
  <c r="B19" i="9"/>
  <c r="B18" i="9"/>
  <c r="B11" i="9"/>
  <c r="H11" i="10" s="1"/>
  <c r="B7" i="9"/>
  <c r="B6" i="9"/>
  <c r="B5" i="9"/>
  <c r="D10" i="7"/>
  <c r="B14" i="7" s="1"/>
  <c r="H8" i="7"/>
  <c r="K8" i="7" s="1"/>
  <c r="L8" i="7" s="1"/>
  <c r="G8" i="7"/>
  <c r="F8" i="7"/>
  <c r="I8" i="7" s="1"/>
  <c r="D8" i="7"/>
  <c r="J8" i="7" s="1"/>
  <c r="I7" i="7"/>
  <c r="H7" i="7"/>
  <c r="K7" i="7" s="1"/>
  <c r="L7" i="7" s="1"/>
  <c r="G7" i="7"/>
  <c r="F7" i="7"/>
  <c r="D7" i="7"/>
  <c r="J7" i="7" s="1"/>
  <c r="J6" i="7"/>
  <c r="I6" i="7"/>
  <c r="H6" i="7"/>
  <c r="K6" i="7" s="1"/>
  <c r="L6" i="7" s="1"/>
  <c r="G6" i="7"/>
  <c r="F6" i="7"/>
  <c r="D6" i="7"/>
  <c r="K5" i="7"/>
  <c r="L5" i="7" s="1"/>
  <c r="J5" i="7"/>
  <c r="H5" i="7"/>
  <c r="D5" i="7"/>
  <c r="F5" i="7" s="1"/>
  <c r="K8" i="6"/>
  <c r="L8" i="6" s="1"/>
  <c r="J8" i="6"/>
  <c r="H8" i="6"/>
  <c r="D8" i="6"/>
  <c r="F8" i="6" s="1"/>
  <c r="F7" i="6"/>
  <c r="G7" i="6" s="1"/>
  <c r="D7" i="6"/>
  <c r="L6" i="6"/>
  <c r="K6" i="6"/>
  <c r="H6" i="6"/>
  <c r="D6" i="6"/>
  <c r="F6" i="6" s="1"/>
  <c r="L5" i="6"/>
  <c r="K5" i="6"/>
  <c r="H5" i="6"/>
  <c r="F5" i="6"/>
  <c r="G5" i="6" s="1"/>
  <c r="D5" i="6"/>
  <c r="J5" i="6" s="1"/>
  <c r="D9" i="5"/>
  <c r="B13" i="5" s="1"/>
  <c r="L7" i="5"/>
  <c r="K7" i="5"/>
  <c r="H7" i="5"/>
  <c r="F7" i="5"/>
  <c r="G7" i="5" s="1"/>
  <c r="D7" i="5"/>
  <c r="J7" i="5" s="1"/>
  <c r="L6" i="5"/>
  <c r="K6" i="5"/>
  <c r="H6" i="5"/>
  <c r="G6" i="5"/>
  <c r="F6" i="5"/>
  <c r="I6" i="5" s="1"/>
  <c r="D6" i="5"/>
  <c r="J6" i="5" s="1"/>
  <c r="H5" i="5"/>
  <c r="H9" i="5" s="1"/>
  <c r="G5" i="5"/>
  <c r="F5" i="5"/>
  <c r="I5" i="5" s="1"/>
  <c r="D5" i="5"/>
  <c r="J5" i="5" s="1"/>
  <c r="D10" i="4"/>
  <c r="B14" i="4" s="1"/>
  <c r="H8" i="4"/>
  <c r="K8" i="4" s="1"/>
  <c r="L8" i="4" s="1"/>
  <c r="G8" i="4"/>
  <c r="F8" i="4"/>
  <c r="I8" i="4" s="1"/>
  <c r="D8" i="4"/>
  <c r="J8" i="4" s="1"/>
  <c r="G7" i="4"/>
  <c r="F7" i="4"/>
  <c r="D7" i="4"/>
  <c r="J6" i="4"/>
  <c r="I6" i="4"/>
  <c r="H6" i="4"/>
  <c r="K6" i="4" s="1"/>
  <c r="L6" i="4" s="1"/>
  <c r="G6" i="4"/>
  <c r="F6" i="4"/>
  <c r="D6" i="4"/>
  <c r="K5" i="4"/>
  <c r="L5" i="4" s="1"/>
  <c r="J5" i="4"/>
  <c r="H5" i="4"/>
  <c r="D5" i="4"/>
  <c r="F5" i="4" s="1"/>
  <c r="D11" i="3"/>
  <c r="F11" i="3" s="1"/>
  <c r="L10" i="3"/>
  <c r="K10" i="3"/>
  <c r="J10" i="3"/>
  <c r="I10" i="3"/>
  <c r="H10" i="3"/>
  <c r="F10" i="3"/>
  <c r="G10" i="3" s="1"/>
  <c r="D10" i="3"/>
  <c r="L9" i="3"/>
  <c r="K9" i="3"/>
  <c r="H9" i="3"/>
  <c r="D9" i="3"/>
  <c r="F9" i="3" s="1"/>
  <c r="L8" i="3"/>
  <c r="K8" i="3"/>
  <c r="H8" i="3"/>
  <c r="F8" i="3"/>
  <c r="G8" i="3" s="1"/>
  <c r="D8" i="3"/>
  <c r="J8" i="3" s="1"/>
  <c r="L7" i="3"/>
  <c r="K7" i="3"/>
  <c r="H7" i="3"/>
  <c r="F7" i="3"/>
  <c r="I7" i="3" s="1"/>
  <c r="D7" i="3"/>
  <c r="J7" i="3" s="1"/>
  <c r="H6" i="3"/>
  <c r="K6" i="3" s="1"/>
  <c r="L6" i="3" s="1"/>
  <c r="G6" i="3"/>
  <c r="F6" i="3"/>
  <c r="I6" i="3" s="1"/>
  <c r="D6" i="3"/>
  <c r="J6" i="3" s="1"/>
  <c r="H5" i="3"/>
  <c r="K5" i="3" s="1"/>
  <c r="G5" i="3"/>
  <c r="F5" i="3"/>
  <c r="D5" i="3"/>
  <c r="J5" i="3" s="1"/>
  <c r="H8" i="2"/>
  <c r="K8" i="2" s="1"/>
  <c r="L8" i="2" s="1"/>
  <c r="G8" i="2"/>
  <c r="F8" i="2"/>
  <c r="D8" i="2"/>
  <c r="J8" i="2" s="1"/>
  <c r="J7" i="2"/>
  <c r="I7" i="2"/>
  <c r="H7" i="2"/>
  <c r="K7" i="2" s="1"/>
  <c r="L7" i="2" s="1"/>
  <c r="G7" i="2"/>
  <c r="F7" i="2"/>
  <c r="D7" i="2"/>
  <c r="K6" i="2"/>
  <c r="L6" i="2" s="1"/>
  <c r="J6" i="2"/>
  <c r="H6" i="2"/>
  <c r="D6" i="2"/>
  <c r="F6" i="2" s="1"/>
  <c r="K5" i="2"/>
  <c r="L5" i="2" s="1"/>
  <c r="J5" i="2"/>
  <c r="H5" i="2"/>
  <c r="D5" i="2"/>
  <c r="F5" i="2" s="1"/>
  <c r="B16" i="1"/>
  <c r="H7" i="4" s="1"/>
  <c r="B15" i="1"/>
  <c r="H11" i="3" s="1"/>
  <c r="G6" i="6" l="1"/>
  <c r="I6" i="6"/>
  <c r="J5" i="13"/>
  <c r="H10" i="13"/>
  <c r="K5" i="13"/>
  <c r="I5" i="7"/>
  <c r="G5" i="7"/>
  <c r="I11" i="10"/>
  <c r="I7" i="12"/>
  <c r="I11" i="3"/>
  <c r="G11" i="3"/>
  <c r="K9" i="12"/>
  <c r="L9" i="12" s="1"/>
  <c r="J9" i="12"/>
  <c r="I5" i="4"/>
  <c r="G5" i="4"/>
  <c r="J11" i="10"/>
  <c r="K11" i="10"/>
  <c r="L11" i="10" s="1"/>
  <c r="I5" i="13"/>
  <c r="M8" i="2"/>
  <c r="J7" i="4"/>
  <c r="J6" i="13"/>
  <c r="D8" i="16"/>
  <c r="K3" i="16"/>
  <c r="M8" i="7"/>
  <c r="I8" i="12"/>
  <c r="I6" i="13"/>
  <c r="L10" i="7"/>
  <c r="M6" i="7" s="1"/>
  <c r="K8" i="12"/>
  <c r="L8" i="12" s="1"/>
  <c r="J8" i="12"/>
  <c r="K33" i="10"/>
  <c r="B36" i="10" s="1"/>
  <c r="L27" i="10"/>
  <c r="K7" i="4"/>
  <c r="L7" i="4" s="1"/>
  <c r="I7" i="4"/>
  <c r="H10" i="4"/>
  <c r="L5" i="10"/>
  <c r="M5" i="2"/>
  <c r="L10" i="2"/>
  <c r="M6" i="2" s="1"/>
  <c r="I6" i="2"/>
  <c r="G6" i="2"/>
  <c r="K13" i="3"/>
  <c r="B16" i="3" s="1"/>
  <c r="B4" i="8" s="1"/>
  <c r="L5" i="3"/>
  <c r="I8" i="6"/>
  <c r="G8" i="6"/>
  <c r="K20" i="11"/>
  <c r="B23" i="11" s="1"/>
  <c r="B4" i="15" s="1"/>
  <c r="L5" i="11"/>
  <c r="I9" i="12"/>
  <c r="E29" i="15"/>
  <c r="I5" i="2"/>
  <c r="G5" i="2"/>
  <c r="M7" i="2"/>
  <c r="G9" i="3"/>
  <c r="I9" i="3"/>
  <c r="J11" i="3"/>
  <c r="K11" i="3"/>
  <c r="L11" i="3" s="1"/>
  <c r="K7" i="12"/>
  <c r="L7" i="12" s="1"/>
  <c r="J7" i="12"/>
  <c r="J6" i="12"/>
  <c r="I8" i="3"/>
  <c r="D13" i="3"/>
  <c r="B17" i="3" s="1"/>
  <c r="K5" i="5"/>
  <c r="I7" i="5"/>
  <c r="I5" i="6"/>
  <c r="D10" i="6"/>
  <c r="B14" i="6" s="1"/>
  <c r="K7" i="10"/>
  <c r="L7" i="10" s="1"/>
  <c r="K8" i="10"/>
  <c r="L8" i="10" s="1"/>
  <c r="K9" i="10"/>
  <c r="L9" i="10" s="1"/>
  <c r="K10" i="10"/>
  <c r="L10" i="10" s="1"/>
  <c r="K12" i="10"/>
  <c r="L12" i="10" s="1"/>
  <c r="K13" i="10"/>
  <c r="L13" i="10" s="1"/>
  <c r="K6" i="11"/>
  <c r="L6" i="11" s="1"/>
  <c r="K7" i="11"/>
  <c r="L7" i="11" s="1"/>
  <c r="K8" i="11"/>
  <c r="L8" i="11" s="1"/>
  <c r="K9" i="11"/>
  <c r="L9" i="11" s="1"/>
  <c r="K10" i="11"/>
  <c r="L10" i="11" s="1"/>
  <c r="K11" i="11"/>
  <c r="L11" i="11" s="1"/>
  <c r="K12" i="11"/>
  <c r="L12" i="11" s="1"/>
  <c r="K13" i="11"/>
  <c r="L13" i="11" s="1"/>
  <c r="J16" i="11"/>
  <c r="K5" i="12"/>
  <c r="J7" i="13"/>
  <c r="K5" i="14"/>
  <c r="K6" i="14"/>
  <c r="L6" i="14" s="1"/>
  <c r="K7" i="14"/>
  <c r="L7" i="14" s="1"/>
  <c r="K8" i="14"/>
  <c r="L8" i="14" s="1"/>
  <c r="K9" i="14"/>
  <c r="L9" i="14" s="1"/>
  <c r="H12" i="12"/>
  <c r="H13" i="3"/>
  <c r="H7" i="6"/>
  <c r="G7" i="3"/>
  <c r="K10" i="7"/>
  <c r="B13" i="7" s="1"/>
  <c r="B8" i="8" s="1"/>
  <c r="D10" i="2"/>
  <c r="B14" i="2" s="1"/>
  <c r="J9" i="3"/>
  <c r="J6" i="6"/>
  <c r="K10" i="2"/>
  <c r="B13" i="2" s="1"/>
  <c r="B3" i="8" s="1"/>
  <c r="I5" i="3"/>
  <c r="H10" i="2"/>
  <c r="H33" i="10"/>
  <c r="H10" i="7"/>
  <c r="H16" i="10"/>
  <c r="H12" i="14"/>
  <c r="J5" i="10"/>
  <c r="J27" i="10"/>
  <c r="J28" i="10"/>
  <c r="J29" i="10"/>
  <c r="J30" i="10"/>
  <c r="J5" i="11"/>
  <c r="I8" i="2"/>
  <c r="M6" i="11" l="1"/>
  <c r="M7" i="7"/>
  <c r="M5" i="7"/>
  <c r="M10" i="7" s="1"/>
  <c r="K10" i="13"/>
  <c r="B13" i="13" s="1"/>
  <c r="B7" i="15" s="1"/>
  <c r="L5" i="13"/>
  <c r="K7" i="6"/>
  <c r="J7" i="6"/>
  <c r="I7" i="6"/>
  <c r="K12" i="12"/>
  <c r="B15" i="12" s="1"/>
  <c r="B6" i="15" s="1"/>
  <c r="L5" i="12"/>
  <c r="M7" i="4"/>
  <c r="L10" i="4"/>
  <c r="K10" i="4"/>
  <c r="B13" i="4" s="1"/>
  <c r="B5" i="8" s="1"/>
  <c r="M13" i="11"/>
  <c r="M13" i="10"/>
  <c r="M10" i="2"/>
  <c r="H10" i="6"/>
  <c r="M11" i="10"/>
  <c r="M12" i="10"/>
  <c r="M11" i="11"/>
  <c r="M10" i="10"/>
  <c r="L13" i="3"/>
  <c r="M11" i="3" s="1"/>
  <c r="M5" i="3"/>
  <c r="L16" i="10"/>
  <c r="M6" i="10" s="1"/>
  <c r="M5" i="10"/>
  <c r="B40" i="10"/>
  <c r="B3" i="15" s="1"/>
  <c r="E8" i="16"/>
  <c r="M3" i="16"/>
  <c r="L3" i="16"/>
  <c r="K9" i="5"/>
  <c r="B12" i="5" s="1"/>
  <c r="B6" i="8" s="1"/>
  <c r="L5" i="5"/>
  <c r="M9" i="10"/>
  <c r="K16" i="10"/>
  <c r="B19" i="10" s="1"/>
  <c r="M12" i="11"/>
  <c r="M27" i="10"/>
  <c r="L33" i="10"/>
  <c r="K12" i="14"/>
  <c r="B15" i="14" s="1"/>
  <c r="B8" i="15" s="1"/>
  <c r="L5" i="14"/>
  <c r="M9" i="11"/>
  <c r="M8" i="10"/>
  <c r="L20" i="11"/>
  <c r="M5" i="11"/>
  <c r="L12" i="12" l="1"/>
  <c r="M5" i="12"/>
  <c r="M8" i="3"/>
  <c r="M7" i="3"/>
  <c r="M9" i="3"/>
  <c r="M10" i="3"/>
  <c r="M6" i="3"/>
  <c r="M13" i="3" s="1"/>
  <c r="M16" i="11"/>
  <c r="M14" i="11"/>
  <c r="M8" i="11"/>
  <c r="M20" i="11"/>
  <c r="M10" i="11"/>
  <c r="M7" i="11"/>
  <c r="L10" i="13"/>
  <c r="M5" i="13"/>
  <c r="L12" i="14"/>
  <c r="M5" i="14"/>
  <c r="M30" i="10"/>
  <c r="M29" i="10"/>
  <c r="M28" i="10"/>
  <c r="M33" i="10" s="1"/>
  <c r="L9" i="5"/>
  <c r="M8" i="4"/>
  <c r="M6" i="4"/>
  <c r="M5" i="4"/>
  <c r="L7" i="6"/>
  <c r="K10" i="6"/>
  <c r="B13" i="6" s="1"/>
  <c r="B7" i="8" s="1"/>
  <c r="B9" i="8" s="1"/>
  <c r="M7" i="10"/>
  <c r="M16" i="10" s="1"/>
  <c r="B5" i="15" l="1"/>
  <c r="B9" i="15" s="1"/>
  <c r="B13" i="8"/>
  <c r="L10" i="6"/>
  <c r="M10" i="4"/>
  <c r="M6" i="14"/>
  <c r="M12" i="14" s="1"/>
  <c r="M9" i="14"/>
  <c r="M7" i="14"/>
  <c r="M8" i="14"/>
  <c r="M7" i="5"/>
  <c r="M6" i="5"/>
  <c r="M6" i="13"/>
  <c r="M10" i="13" s="1"/>
  <c r="M7" i="13"/>
  <c r="M6" i="12"/>
  <c r="M12" i="12" s="1"/>
  <c r="M8" i="12"/>
  <c r="M9" i="12"/>
  <c r="M7" i="12"/>
  <c r="M5" i="5"/>
  <c r="M9" i="5" s="1"/>
  <c r="M5" i="6" l="1"/>
  <c r="M6" i="6"/>
  <c r="M8" i="6"/>
  <c r="M7" i="6"/>
  <c r="M10" i="6" l="1"/>
</calcChain>
</file>

<file path=xl/sharedStrings.xml><?xml version="1.0" encoding="utf-8"?>
<sst xmlns="http://schemas.openxmlformats.org/spreadsheetml/2006/main" count="498" uniqueCount="155">
  <si>
    <t>LISTADO DE INGREDIENTES</t>
  </si>
  <si>
    <t>NOMBRES</t>
  </si>
  <si>
    <t>Salazar Moreno, Maria Alejandra</t>
  </si>
  <si>
    <t xml:space="preserve">Carrizosa, Tomás </t>
  </si>
  <si>
    <t>PRODUCTO</t>
  </si>
  <si>
    <t>PRECIO (por g)</t>
  </si>
  <si>
    <t>Agua</t>
  </si>
  <si>
    <t xml:space="preserve">Pronóstico de ventas diario </t>
  </si>
  <si>
    <t>Aguardiente</t>
  </si>
  <si>
    <t xml:space="preserve">platos diarios  </t>
  </si>
  <si>
    <t>Albahaca morada fresca</t>
  </si>
  <si>
    <t>Azúcar</t>
  </si>
  <si>
    <t>Chocolate negro semi amargo</t>
  </si>
  <si>
    <t>Crema de leche</t>
  </si>
  <si>
    <t>Fresas</t>
  </si>
  <si>
    <t>Huevos</t>
  </si>
  <si>
    <t>Jengibre fresco</t>
  </si>
  <si>
    <t>Mantequilla</t>
  </si>
  <si>
    <t xml:space="preserve">Gelatina en polvo </t>
  </si>
  <si>
    <t xml:space="preserve">Lulo </t>
  </si>
  <si>
    <t>RECETA ESTANDAR</t>
  </si>
  <si>
    <t xml:space="preserve">Merengue de albahaca morada </t>
  </si>
  <si>
    <t>INGREDIENTES</t>
  </si>
  <si>
    <t>UNIDADES (g, ml, und)</t>
  </si>
  <si>
    <t>CANTIDAD BRUTA (g)</t>
  </si>
  <si>
    <t>CANTIDAD NETA (g)</t>
  </si>
  <si>
    <t>%Rinde</t>
  </si>
  <si>
    <t>MERMA (g)</t>
  </si>
  <si>
    <t>MERMA %</t>
  </si>
  <si>
    <t>PRECIO ($) POR g</t>
  </si>
  <si>
    <t>COSTO MERMA</t>
  </si>
  <si>
    <t>COSTO NETO</t>
  </si>
  <si>
    <t>COSTO ($)</t>
  </si>
  <si>
    <t>COSTO VENTA</t>
  </si>
  <si>
    <t>% DE LA RECETA</t>
  </si>
  <si>
    <t>g</t>
  </si>
  <si>
    <t xml:space="preserve">Claras de huevo </t>
  </si>
  <si>
    <t>Albahaca morada</t>
  </si>
  <si>
    <t>TOTAL</t>
  </si>
  <si>
    <t>GRAMOS PRODUCIDOS</t>
  </si>
  <si>
    <t>CANTIDAD DE PORCIONES</t>
  </si>
  <si>
    <t>COSTO POR PORCION</t>
  </si>
  <si>
    <t>PESO POR PORCION</t>
  </si>
  <si>
    <t xml:space="preserve">Mousse de chocolate </t>
  </si>
  <si>
    <t xml:space="preserve">Chocolate semiamargo </t>
  </si>
  <si>
    <t xml:space="preserve">Crema de leche </t>
  </si>
  <si>
    <t>Coulis de Lulo y Fresa</t>
  </si>
  <si>
    <t>Lulo</t>
  </si>
  <si>
    <t>Fresa</t>
  </si>
  <si>
    <t xml:space="preserve">Jengibre Confitado </t>
  </si>
  <si>
    <t>Jengibre</t>
  </si>
  <si>
    <t xml:space="preserve">Lulo macerado con almíbar de aguardiente </t>
  </si>
  <si>
    <t xml:space="preserve">Fresa macerada con almíbar de aguardiente </t>
  </si>
  <si>
    <t>COSTOS Y PRECIOS</t>
  </si>
  <si>
    <t>NOMBRE PLATO</t>
  </si>
  <si>
    <t>COSTO PORCION</t>
  </si>
  <si>
    <t>Coulis de lulo y fresa</t>
  </si>
  <si>
    <t xml:space="preserve">Jengibre confitado </t>
  </si>
  <si>
    <t>Lulo macerado con almíbar de aguardiente</t>
  </si>
  <si>
    <t xml:space="preserve">COSTO REAL DEL PLATO </t>
  </si>
  <si>
    <t xml:space="preserve">COSTO DE VENTA </t>
  </si>
  <si>
    <t xml:space="preserve">GANANCIA </t>
  </si>
  <si>
    <t xml:space="preserve">Pollo (pechuga de pollo deshuesada) </t>
  </si>
  <si>
    <t>Pronóstico de ventas</t>
  </si>
  <si>
    <t>Almidón de papa</t>
  </si>
  <si>
    <t>Salsa teriyaki</t>
  </si>
  <si>
    <t>Salsa soya</t>
  </si>
  <si>
    <t>Azúcar morena</t>
  </si>
  <si>
    <t>Sal</t>
  </si>
  <si>
    <t>Pasta ajo</t>
  </si>
  <si>
    <t xml:space="preserve">Aceite </t>
  </si>
  <si>
    <t xml:space="preserve">Pasta de arroz </t>
  </si>
  <si>
    <t>Zanahoria</t>
  </si>
  <si>
    <t>Cebolla</t>
  </si>
  <si>
    <t>Carne de res</t>
  </si>
  <si>
    <t>Huevo</t>
  </si>
  <si>
    <t>Maní</t>
  </si>
  <si>
    <t xml:space="preserve">Mermelada de piña </t>
  </si>
  <si>
    <t>Picante (pasta de ají)</t>
  </si>
  <si>
    <t xml:space="preserve">Zumo de limón </t>
  </si>
  <si>
    <t>Hierbabuena</t>
  </si>
  <si>
    <t>Agua gasificada</t>
  </si>
  <si>
    <t xml:space="preserve">Jengibre </t>
  </si>
  <si>
    <t xml:space="preserve">Vino tinto tipo sangría </t>
  </si>
  <si>
    <t xml:space="preserve">Café granulado </t>
  </si>
  <si>
    <t>Chocolate semi amargo</t>
  </si>
  <si>
    <t xml:space="preserve">Leche </t>
  </si>
  <si>
    <t>Azúcar blanca</t>
  </si>
  <si>
    <t>Albahaca Morada</t>
  </si>
  <si>
    <t xml:space="preserve">Mantequilla sin sal </t>
  </si>
  <si>
    <t>40.80</t>
  </si>
  <si>
    <t>Mora</t>
  </si>
  <si>
    <t xml:space="preserve">Pollo tipo Karaage </t>
  </si>
  <si>
    <t xml:space="preserve">Mayonesa picante de piña </t>
  </si>
  <si>
    <t xml:space="preserve">Yemas de huevo </t>
  </si>
  <si>
    <t>Picante (Pasta de ají)</t>
  </si>
  <si>
    <t>Costo entrada</t>
  </si>
  <si>
    <t xml:space="preserve">Japchae </t>
  </si>
  <si>
    <t xml:space="preserve">Salsa teriyaki </t>
  </si>
  <si>
    <t xml:space="preserve">Tortilla de huevo </t>
  </si>
  <si>
    <t>Limonada gasificada con hierbabuena y jengibre</t>
  </si>
  <si>
    <t>Zumo de limón</t>
  </si>
  <si>
    <t xml:space="preserve">Agua gasificada </t>
  </si>
  <si>
    <t xml:space="preserve">Azúcar </t>
  </si>
  <si>
    <t>Sangría</t>
  </si>
  <si>
    <t>Vino tinto tipo sangría</t>
  </si>
  <si>
    <t xml:space="preserve">Latte frio con chocolate amargo </t>
  </si>
  <si>
    <t>Café</t>
  </si>
  <si>
    <t>Leche</t>
  </si>
  <si>
    <t xml:space="preserve">Karaage de pollo con mayonesa de piña picante </t>
  </si>
  <si>
    <t>Japchae</t>
  </si>
  <si>
    <t xml:space="preserve">Desperdicios </t>
  </si>
  <si>
    <t xml:space="preserve">Merengón  </t>
  </si>
  <si>
    <t>Limonada gasificada</t>
  </si>
  <si>
    <t>Latte frio con chocolate amargo</t>
  </si>
  <si>
    <t xml:space="preserve">EMPAQUES </t>
  </si>
  <si>
    <t xml:space="preserve">SERVICIOS </t>
  </si>
  <si>
    <t>TIPO DE EMPAQUE</t>
  </si>
  <si>
    <t>PRECIO UNIDAD</t>
  </si>
  <si>
    <t xml:space="preserve">PRECIO TOTAL </t>
  </si>
  <si>
    <t xml:space="preserve">CANTIDAD POR CENA </t>
  </si>
  <si>
    <t xml:space="preserve">PRECIO CANTIDAD X CENA </t>
  </si>
  <si>
    <t xml:space="preserve">TIPO </t>
  </si>
  <si>
    <t>POR DIA</t>
  </si>
  <si>
    <t>SEGUN CRONOGRAMA</t>
  </si>
  <si>
    <t>Caja exterior</t>
  </si>
  <si>
    <t>Bolsas</t>
  </si>
  <si>
    <t>Gas</t>
  </si>
  <si>
    <t>Salseras</t>
  </si>
  <si>
    <t>Luz</t>
  </si>
  <si>
    <t>Pintas</t>
  </si>
  <si>
    <t>Botellas</t>
  </si>
  <si>
    <t xml:space="preserve">Vinipel </t>
  </si>
  <si>
    <t xml:space="preserve">Bolsas blancas </t>
  </si>
  <si>
    <t>Stickers</t>
  </si>
  <si>
    <t>Individuales</t>
  </si>
  <si>
    <t>palillos</t>
  </si>
  <si>
    <t>Servilletas</t>
  </si>
  <si>
    <t xml:space="preserve">TOTAL </t>
  </si>
  <si>
    <t>Utilidades</t>
  </si>
  <si>
    <t>Total servicios</t>
  </si>
  <si>
    <t>Comida</t>
  </si>
  <si>
    <t>Empaques</t>
  </si>
  <si>
    <t>Total costos</t>
  </si>
  <si>
    <t>Valor por cena</t>
  </si>
  <si>
    <t>Unidades vendidas</t>
  </si>
  <si>
    <t xml:space="preserve">Total ventas </t>
  </si>
  <si>
    <t>Costo domicilio</t>
  </si>
  <si>
    <t>Total domicilios</t>
  </si>
  <si>
    <t>Ganancia neta</t>
  </si>
  <si>
    <t>Ganancia por persona</t>
  </si>
  <si>
    <t>Porcentaje de ganancia neta</t>
  </si>
  <si>
    <t xml:space="preserve">gastamos </t>
  </si>
  <si>
    <t xml:space="preserve">cuanto ganamos neta </t>
  </si>
  <si>
    <t>cuanto recogimos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</si>
</sst>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.00"/>
    <numFmt numFmtId="165" formatCode="[$ $]#,##0"/>
  </numFmts>
  <fonts count="23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10"/>
      <name val="Arial"/>
    </font>
    <font>
      <b/>
      <sz val="12"/>
      <color rgb="FFFFFFFF"/>
      <name val="Arial"/>
    </font>
    <font>
      <b/>
      <sz val="11"/>
      <color theme="1"/>
      <name val="Arial"/>
    </font>
    <font>
      <b/>
      <sz val="11"/>
      <color rgb="FF201F1E"/>
      <name val="Calibri"/>
    </font>
    <font>
      <sz val="10"/>
      <color theme="1"/>
      <name val="Trebuchet MS"/>
    </font>
    <font>
      <b/>
      <sz val="12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b/>
      <sz val="10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16"/>
      <color theme="1"/>
      <name val="Calibri"/>
    </font>
    <font>
      <b/>
      <sz val="10"/>
      <color rgb="FFFFFFFF"/>
      <name val="Calibri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FFFFFF"/>
      <name val="Calibri"/>
    </font>
    <font>
      <b/>
      <sz val="10"/>
      <color rgb="FFEFEFEF"/>
      <name val="Calibri"/>
    </font>
    <font>
      <sz val="14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92CDDC"/>
        <bgColor rgb="FF92CDDC"/>
      </patternFill>
    </fill>
    <fill>
      <patternFill patternType="solid">
        <fgColor rgb="FFF4B084"/>
        <bgColor rgb="FFF4B084"/>
      </patternFill>
    </fill>
    <fill>
      <patternFill patternType="solid">
        <fgColor rgb="FFD8D8D8"/>
        <bgColor rgb="FFD8D8D8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434343"/>
        <bgColor rgb="FF434343"/>
      </patternFill>
    </fill>
    <fill>
      <patternFill patternType="solid">
        <fgColor rgb="FFFF9900"/>
        <bgColor rgb="FFFF99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vertical="top"/>
    </xf>
    <xf numFmtId="164" fontId="2" fillId="0" borderId="0" xfId="0" applyNumberFormat="1" applyFont="1" applyAlignment="1"/>
    <xf numFmtId="0" fontId="8" fillId="3" borderId="0" xfId="0" applyFont="1" applyFill="1"/>
    <xf numFmtId="0" fontId="9" fillId="0" borderId="1" xfId="0" applyFont="1" applyBorder="1" applyAlignment="1"/>
    <xf numFmtId="164" fontId="9" fillId="0" borderId="1" xfId="0" applyNumberFormat="1" applyFont="1" applyBorder="1" applyAlignment="1">
      <alignment horizontal="left"/>
    </xf>
    <xf numFmtId="164" fontId="2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0" borderId="0" xfId="0" applyFont="1" applyAlignment="1"/>
    <xf numFmtId="0" fontId="1" fillId="0" borderId="1" xfId="0" applyFont="1" applyBorder="1" applyAlignment="1"/>
    <xf numFmtId="0" fontId="11" fillId="0" borderId="1" xfId="0" applyFont="1" applyBorder="1" applyAlignment="1"/>
    <xf numFmtId="0" fontId="2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0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/>
    <xf numFmtId="0" fontId="14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9" fontId="11" fillId="0" borderId="1" xfId="0" applyNumberFormat="1" applyFont="1" applyBorder="1" applyAlignment="1">
      <alignment horizontal="right"/>
    </xf>
    <xf numFmtId="0" fontId="16" fillId="6" borderId="0" xfId="0" applyFont="1" applyFill="1" applyAlignment="1"/>
    <xf numFmtId="0" fontId="16" fillId="6" borderId="0" xfId="0" applyFont="1" applyFill="1" applyAlignment="1"/>
    <xf numFmtId="0" fontId="17" fillId="7" borderId="1" xfId="0" applyFont="1" applyFill="1" applyBorder="1" applyAlignment="1">
      <alignment horizontal="left"/>
    </xf>
    <xf numFmtId="0" fontId="12" fillId="8" borderId="1" xfId="0" applyFont="1" applyFill="1" applyBorder="1" applyAlignment="1"/>
    <xf numFmtId="164" fontId="12" fillId="8" borderId="1" xfId="0" applyNumberFormat="1" applyFont="1" applyFill="1" applyBorder="1" applyAlignment="1"/>
    <xf numFmtId="0" fontId="18" fillId="8" borderId="1" xfId="0" applyFont="1" applyFill="1" applyBorder="1" applyAlignment="1"/>
    <xf numFmtId="164" fontId="18" fillId="8" borderId="1" xfId="0" applyNumberFormat="1" applyFont="1" applyFill="1" applyBorder="1"/>
    <xf numFmtId="0" fontId="2" fillId="0" borderId="1" xfId="0" applyFont="1" applyBorder="1" applyAlignment="1"/>
    <xf numFmtId="164" fontId="11" fillId="8" borderId="1" xfId="0" applyNumberFormat="1" applyFont="1" applyFill="1" applyBorder="1" applyAlignment="1">
      <alignment horizontal="right"/>
    </xf>
    <xf numFmtId="0" fontId="1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0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0" fontId="19" fillId="0" borderId="1" xfId="0" applyFont="1" applyBorder="1" applyAlignment="1"/>
    <xf numFmtId="164" fontId="2" fillId="0" borderId="1" xfId="0" applyNumberFormat="1" applyFont="1" applyBorder="1"/>
    <xf numFmtId="2" fontId="11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2" fillId="3" borderId="0" xfId="0" applyFont="1" applyFill="1"/>
    <xf numFmtId="164" fontId="2" fillId="8" borderId="1" xfId="0" applyNumberFormat="1" applyFont="1" applyFill="1" applyBorder="1" applyAlignment="1"/>
    <xf numFmtId="164" fontId="2" fillId="3" borderId="0" xfId="0" applyNumberFormat="1" applyFont="1" applyFill="1" applyAlignment="1"/>
    <xf numFmtId="0" fontId="2" fillId="3" borderId="0" xfId="0" applyFont="1" applyFill="1" applyAlignment="1"/>
    <xf numFmtId="0" fontId="12" fillId="0" borderId="0" xfId="0" applyFont="1" applyAlignment="1"/>
    <xf numFmtId="164" fontId="12" fillId="0" borderId="0" xfId="0" applyNumberFormat="1" applyFont="1" applyAlignment="1"/>
    <xf numFmtId="9" fontId="2" fillId="0" borderId="0" xfId="0" applyNumberFormat="1" applyFont="1" applyAlignment="1"/>
    <xf numFmtId="10" fontId="18" fillId="0" borderId="0" xfId="0" applyNumberFormat="1" applyFont="1" applyAlignment="1"/>
    <xf numFmtId="0" fontId="18" fillId="0" borderId="0" xfId="0" applyFont="1"/>
    <xf numFmtId="10" fontId="2" fillId="0" borderId="0" xfId="0" applyNumberFormat="1" applyFont="1"/>
    <xf numFmtId="0" fontId="16" fillId="9" borderId="0" xfId="0" applyFont="1" applyFill="1" applyAlignment="1"/>
    <xf numFmtId="0" fontId="19" fillId="9" borderId="0" xfId="0" applyFont="1" applyFill="1" applyAlignment="1"/>
    <xf numFmtId="0" fontId="2" fillId="9" borderId="0" xfId="0" applyFont="1" applyFill="1"/>
    <xf numFmtId="0" fontId="16" fillId="10" borderId="1" xfId="0" applyFont="1" applyFill="1" applyBorder="1" applyAlignment="1"/>
    <xf numFmtId="0" fontId="2" fillId="10" borderId="1" xfId="0" applyFont="1" applyFill="1" applyBorder="1"/>
    <xf numFmtId="0" fontId="20" fillId="11" borderId="0" xfId="0" applyFont="1" applyFill="1" applyAlignment="1"/>
    <xf numFmtId="0" fontId="21" fillId="11" borderId="0" xfId="0" applyFont="1" applyFill="1" applyAlignment="1"/>
    <xf numFmtId="0" fontId="17" fillId="11" borderId="0" xfId="0" applyFont="1" applyFill="1" applyAlignment="1"/>
    <xf numFmtId="0" fontId="20" fillId="11" borderId="2" xfId="0" applyFont="1" applyFill="1" applyBorder="1" applyAlignment="1"/>
    <xf numFmtId="0" fontId="17" fillId="11" borderId="2" xfId="0" applyFont="1" applyFill="1" applyBorder="1" applyAlignment="1"/>
    <xf numFmtId="0" fontId="17" fillId="11" borderId="1" xfId="0" applyFont="1" applyFill="1" applyBorder="1" applyAlignment="1"/>
    <xf numFmtId="164" fontId="17" fillId="11" borderId="1" xfId="0" applyNumberFormat="1" applyFont="1" applyFill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2" fillId="8" borderId="1" xfId="0" applyFont="1" applyFill="1" applyBorder="1" applyAlignment="1"/>
    <xf numFmtId="164" fontId="22" fillId="8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2" fillId="8" borderId="1" xfId="0" applyNumberFormat="1" applyFont="1" applyFill="1" applyBorder="1"/>
    <xf numFmtId="0" fontId="12" fillId="8" borderId="0" xfId="0" applyFont="1" applyFill="1" applyAlignment="1"/>
    <xf numFmtId="0" fontId="2" fillId="0" borderId="0" xfId="0" applyFont="1"/>
    <xf numFmtId="0" fontId="2" fillId="0" borderId="1" xfId="0" applyFont="1" applyBorder="1"/>
    <xf numFmtId="164" fontId="12" fillId="12" borderId="1" xfId="0" applyNumberFormat="1" applyFont="1" applyFill="1" applyBorder="1"/>
    <xf numFmtId="165" fontId="2" fillId="0" borderId="0" xfId="0" applyNumberFormat="1" applyFont="1" applyAlignment="1"/>
    <xf numFmtId="4" fontId="2" fillId="0" borderId="0" xfId="0" applyNumberFormat="1" applyFont="1" applyAlignment="1"/>
    <xf numFmtId="165" fontId="2" fillId="0" borderId="0" xfId="0" applyNumberFormat="1" applyFont="1"/>
    <xf numFmtId="0" fontId="2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>
                    <a:latin typeface="Tahom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'Costos finales'!$D$8</c:f>
              <c:numCache>
                <c:formatCode>[$ $]#,##0</c:formatCode>
                <c:ptCount val="1"/>
                <c:pt idx="0">
                  <c:v>486012.47000000003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9B1-4412-828A-0010EE2C4ED7}"/>
            </c:ext>
          </c:extLst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>
                    <a:latin typeface="Tahom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'Costos finales'!$E$8</c:f>
              <c:numCache>
                <c:formatCode>[$ $]#,##0</c:formatCode>
                <c:ptCount val="1"/>
                <c:pt idx="0">
                  <c:v>313987.52999999997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9B1-4412-828A-0010EE2C4ED7}"/>
            </c:ext>
          </c:extLst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>
                    <a:latin typeface="Tahoma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'Costos finales'!$F$8</c:f>
              <c:numCache>
                <c:formatCode>[$ $]#,##0</c:formatCode>
                <c:ptCount val="1"/>
                <c:pt idx="0">
                  <c:v>800000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9B1-4412-828A-0010EE2C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467857"/>
        <c:axId val="1515611315"/>
        <c:axId val="0"/>
      </c:bar3DChart>
      <c:catAx>
        <c:axId val="13144678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515611315"/>
        <c:crosses val="autoZero"/>
        <c:auto val="1"/>
        <c:lblAlgn val="ctr"/>
        <c:lblOffset val="100"/>
        <c:noMultiLvlLbl val="1"/>
      </c:catAx>
      <c:valAx>
        <c:axId val="15156113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 $]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31446785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8</xdr:row>
      <xdr:rowOff>85725</xdr:rowOff>
    </xdr:from>
    <xdr:ext cx="5715000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6"/>
  <sheetViews>
    <sheetView tabSelected="1" workbookViewId="0"/>
  </sheetViews>
  <sheetFormatPr baseColWidth="10" defaultColWidth="14.42578125" defaultRowHeight="15.75" customHeight="1" x14ac:dyDescent="0.2"/>
  <cols>
    <col min="1" max="1" width="26.42578125" customWidth="1"/>
    <col min="2" max="2" width="30.85546875" customWidth="1"/>
    <col min="3" max="3" width="15.7109375" customWidth="1"/>
  </cols>
  <sheetData>
    <row r="1" spans="1:8" x14ac:dyDescent="0.2">
      <c r="A1" s="1" t="s">
        <v>0</v>
      </c>
      <c r="B1" s="2"/>
      <c r="C1" s="3"/>
    </row>
    <row r="2" spans="1:8" x14ac:dyDescent="0.2">
      <c r="A2" s="4" t="s">
        <v>1</v>
      </c>
      <c r="B2" s="5" t="s">
        <v>2</v>
      </c>
    </row>
    <row r="3" spans="1:8" x14ac:dyDescent="0.2">
      <c r="A3" s="2"/>
      <c r="B3" s="6" t="s">
        <v>3</v>
      </c>
      <c r="C3" s="3"/>
    </row>
    <row r="4" spans="1:8" ht="15.75" customHeight="1" x14ac:dyDescent="0.25">
      <c r="A4" s="7" t="s">
        <v>4</v>
      </c>
      <c r="B4" s="8" t="s">
        <v>5</v>
      </c>
      <c r="C4" s="9"/>
    </row>
    <row r="5" spans="1:8" x14ac:dyDescent="0.2">
      <c r="A5" s="10" t="s">
        <v>6</v>
      </c>
      <c r="B5" s="11">
        <v>0.57999999999999996</v>
      </c>
      <c r="C5" s="2"/>
      <c r="G5" s="12" t="s">
        <v>7</v>
      </c>
    </row>
    <row r="6" spans="1:8" x14ac:dyDescent="0.2">
      <c r="A6" s="10" t="s">
        <v>8</v>
      </c>
      <c r="B6" s="11">
        <v>80.83</v>
      </c>
      <c r="C6" s="2"/>
      <c r="G6" s="12">
        <v>10</v>
      </c>
      <c r="H6" s="12" t="s">
        <v>9</v>
      </c>
    </row>
    <row r="7" spans="1:8" x14ac:dyDescent="0.2">
      <c r="A7" s="10" t="s">
        <v>10</v>
      </c>
      <c r="B7" s="11">
        <v>17.329999999999998</v>
      </c>
      <c r="C7" s="2"/>
    </row>
    <row r="8" spans="1:8" x14ac:dyDescent="0.2">
      <c r="A8" s="13" t="s">
        <v>11</v>
      </c>
      <c r="B8" s="11">
        <v>1.51</v>
      </c>
      <c r="C8" s="2"/>
    </row>
    <row r="9" spans="1:8" x14ac:dyDescent="0.2">
      <c r="A9" s="13" t="s">
        <v>12</v>
      </c>
      <c r="B9" s="11">
        <v>20.9</v>
      </c>
      <c r="C9" s="2"/>
    </row>
    <row r="10" spans="1:8" x14ac:dyDescent="0.2">
      <c r="A10" s="10" t="s">
        <v>13</v>
      </c>
      <c r="B10" s="11">
        <v>12.5</v>
      </c>
      <c r="C10" s="2"/>
    </row>
    <row r="11" spans="1:8" x14ac:dyDescent="0.2">
      <c r="A11" s="10" t="s">
        <v>14</v>
      </c>
      <c r="B11" s="11">
        <v>15.8</v>
      </c>
      <c r="C11" s="2"/>
    </row>
    <row r="12" spans="1:8" ht="15.75" customHeight="1" x14ac:dyDescent="0.25">
      <c r="A12" s="10" t="s">
        <v>15</v>
      </c>
      <c r="B12" s="11">
        <v>11.36</v>
      </c>
      <c r="C12" s="14"/>
      <c r="E12" s="15"/>
    </row>
    <row r="13" spans="1:8" x14ac:dyDescent="0.2">
      <c r="A13" s="10" t="s">
        <v>16</v>
      </c>
      <c r="B13" s="11">
        <v>12.9</v>
      </c>
      <c r="C13" s="2"/>
    </row>
    <row r="14" spans="1:8" x14ac:dyDescent="0.2">
      <c r="A14" s="10" t="s">
        <v>17</v>
      </c>
      <c r="B14" s="11">
        <v>40.799999999999997</v>
      </c>
      <c r="C14" s="2"/>
    </row>
    <row r="15" spans="1:8" ht="15.75" customHeight="1" x14ac:dyDescent="0.3">
      <c r="A15" s="16" t="s">
        <v>18</v>
      </c>
      <c r="B15" s="17">
        <f>2000/30</f>
        <v>66.666666666666671</v>
      </c>
      <c r="C15" s="18"/>
    </row>
    <row r="16" spans="1:8" ht="15.75" customHeight="1" x14ac:dyDescent="0.3">
      <c r="A16" s="16" t="s">
        <v>19</v>
      </c>
      <c r="B16" s="17">
        <f>2856/840</f>
        <v>3.4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40"/>
  <sheetViews>
    <sheetView workbookViewId="0"/>
  </sheetViews>
  <sheetFormatPr baseColWidth="10" defaultColWidth="14.42578125" defaultRowHeight="15.75" customHeight="1" x14ac:dyDescent="0.2"/>
  <cols>
    <col min="1" max="1" width="32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92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62</v>
      </c>
      <c r="B5" s="26" t="s">
        <v>35</v>
      </c>
      <c r="C5" s="27">
        <v>526</v>
      </c>
      <c r="D5" s="28">
        <v>516</v>
      </c>
      <c r="E5" s="29">
        <v>0.98</v>
      </c>
      <c r="F5" s="28">
        <f t="shared" ref="F5:F13" si="0">C5-D5</f>
        <v>10</v>
      </c>
      <c r="G5" s="29">
        <f t="shared" ref="G5:G13" si="1">F5/C5</f>
        <v>1.9011406844106463E-2</v>
      </c>
      <c r="H5" s="45">
        <f>'Ingrediente cena  '!B5</f>
        <v>17.98</v>
      </c>
      <c r="I5" s="30">
        <f t="shared" ref="I5:I13" si="2">F5*H5</f>
        <v>179.8</v>
      </c>
      <c r="J5" s="30">
        <f t="shared" ref="J5:J13" si="3">D5*H5</f>
        <v>9277.68</v>
      </c>
      <c r="K5" s="30">
        <f t="shared" ref="K5:K13" si="4">C5*H5</f>
        <v>9457.48</v>
      </c>
      <c r="L5" s="31">
        <f>(K5/$B$18)*'Ingrediente cena  '!E6</f>
        <v>11821.849999999999</v>
      </c>
      <c r="M5" s="29">
        <f t="shared" ref="M5:M13" si="5">L5/$L$16</f>
        <v>0.61047981265023998</v>
      </c>
      <c r="N5" s="20"/>
    </row>
    <row r="6" spans="1:14" x14ac:dyDescent="0.2">
      <c r="A6" s="25" t="s">
        <v>64</v>
      </c>
      <c r="B6" s="26" t="s">
        <v>35</v>
      </c>
      <c r="C6" s="27">
        <v>110</v>
      </c>
      <c r="D6" s="28">
        <f>C6*E6</f>
        <v>110</v>
      </c>
      <c r="E6" s="29">
        <v>1</v>
      </c>
      <c r="F6" s="28">
        <f t="shared" si="0"/>
        <v>0</v>
      </c>
      <c r="G6" s="29">
        <f t="shared" si="1"/>
        <v>0</v>
      </c>
      <c r="H6" s="45">
        <f>'Ingrediente cena  '!B6</f>
        <v>10.5</v>
      </c>
      <c r="I6" s="30">
        <f t="shared" si="2"/>
        <v>0</v>
      </c>
      <c r="J6" s="30">
        <f t="shared" si="3"/>
        <v>1155</v>
      </c>
      <c r="K6" s="30">
        <f t="shared" si="4"/>
        <v>1155</v>
      </c>
      <c r="L6" s="31">
        <f>(K6/$B$18)*'Ingrediente cena  '!E6</f>
        <v>1443.75</v>
      </c>
      <c r="M6" s="29">
        <f t="shared" si="5"/>
        <v>7.4555186329870876E-2</v>
      </c>
      <c r="N6" s="20"/>
    </row>
    <row r="7" spans="1:14" x14ac:dyDescent="0.2">
      <c r="A7" s="25" t="s">
        <v>65</v>
      </c>
      <c r="B7" s="26" t="s">
        <v>35</v>
      </c>
      <c r="C7" s="27">
        <v>190</v>
      </c>
      <c r="D7" s="28">
        <v>190</v>
      </c>
      <c r="E7" s="29">
        <v>1</v>
      </c>
      <c r="F7" s="28">
        <f t="shared" si="0"/>
        <v>0</v>
      </c>
      <c r="G7" s="29">
        <f t="shared" si="1"/>
        <v>0</v>
      </c>
      <c r="H7" s="45">
        <f>'Ingrediente cena  '!B7</f>
        <v>19.421052631578949</v>
      </c>
      <c r="I7" s="30">
        <f t="shared" si="2"/>
        <v>0</v>
      </c>
      <c r="J7" s="30">
        <f t="shared" si="3"/>
        <v>3690.0000000000005</v>
      </c>
      <c r="K7" s="30">
        <f t="shared" si="4"/>
        <v>3690.0000000000005</v>
      </c>
      <c r="L7" s="31">
        <f>(K7/$B$18)*'Ingrediente cena  '!E6</f>
        <v>4612.5000000000009</v>
      </c>
      <c r="M7" s="29">
        <f t="shared" si="5"/>
        <v>0.23818929658634078</v>
      </c>
      <c r="N7" s="20"/>
    </row>
    <row r="8" spans="1:14" x14ac:dyDescent="0.2">
      <c r="A8" s="25" t="s">
        <v>66</v>
      </c>
      <c r="B8" s="26" t="s">
        <v>35</v>
      </c>
      <c r="C8" s="27">
        <v>190</v>
      </c>
      <c r="D8" s="28">
        <v>190</v>
      </c>
      <c r="E8" s="29">
        <v>1</v>
      </c>
      <c r="F8" s="28">
        <f t="shared" si="0"/>
        <v>0</v>
      </c>
      <c r="G8" s="29">
        <f t="shared" si="1"/>
        <v>0</v>
      </c>
      <c r="H8" s="45">
        <f>'Ingrediente cena  '!B8</f>
        <v>6.26</v>
      </c>
      <c r="I8" s="30">
        <f t="shared" si="2"/>
        <v>0</v>
      </c>
      <c r="J8" s="30">
        <f t="shared" si="3"/>
        <v>1189.3999999999999</v>
      </c>
      <c r="K8" s="30">
        <f t="shared" si="4"/>
        <v>1189.3999999999999</v>
      </c>
      <c r="L8" s="31">
        <f>(K8/B18)*'Ingrediente cena  '!E6</f>
        <v>1486.7499999999998</v>
      </c>
      <c r="M8" s="29">
        <f t="shared" si="5"/>
        <v>7.6775704433548406E-2</v>
      </c>
      <c r="N8" s="20"/>
    </row>
    <row r="9" spans="1:14" x14ac:dyDescent="0.2">
      <c r="A9" s="25" t="s">
        <v>67</v>
      </c>
      <c r="B9" s="26" t="s">
        <v>35</v>
      </c>
      <c r="C9" s="27">
        <v>40</v>
      </c>
      <c r="D9" s="28">
        <v>40</v>
      </c>
      <c r="E9" s="29">
        <v>1</v>
      </c>
      <c r="F9" s="28">
        <f t="shared" si="0"/>
        <v>0</v>
      </c>
      <c r="G9" s="29">
        <f t="shared" si="1"/>
        <v>0</v>
      </c>
      <c r="H9" s="45">
        <f>'Ingrediente cena  '!B9</f>
        <v>2.85</v>
      </c>
      <c r="I9" s="30">
        <f t="shared" si="2"/>
        <v>0</v>
      </c>
      <c r="J9" s="30">
        <f t="shared" si="3"/>
        <v>114</v>
      </c>
      <c r="K9" s="30">
        <f t="shared" si="4"/>
        <v>114</v>
      </c>
      <c r="L9" s="31">
        <f>(K9/$B$18)*'Ingrediente cena  '!E6</f>
        <v>142.5</v>
      </c>
      <c r="M9" s="29">
        <f t="shared" si="5"/>
        <v>7.3586937156755678E-3</v>
      </c>
      <c r="N9" s="20"/>
    </row>
    <row r="10" spans="1:14" x14ac:dyDescent="0.2">
      <c r="A10" s="25" t="s">
        <v>68</v>
      </c>
      <c r="B10" s="26" t="s">
        <v>35</v>
      </c>
      <c r="C10" s="27">
        <v>30</v>
      </c>
      <c r="D10" s="28">
        <v>30</v>
      </c>
      <c r="E10" s="29">
        <v>1</v>
      </c>
      <c r="F10" s="28">
        <f t="shared" si="0"/>
        <v>0</v>
      </c>
      <c r="G10" s="29">
        <f t="shared" si="1"/>
        <v>0</v>
      </c>
      <c r="H10" s="45">
        <f>'Ingrediente cena  '!B10</f>
        <v>1.2</v>
      </c>
      <c r="I10" s="30">
        <f t="shared" si="2"/>
        <v>0</v>
      </c>
      <c r="J10" s="30">
        <f t="shared" si="3"/>
        <v>36</v>
      </c>
      <c r="K10" s="30">
        <f t="shared" si="4"/>
        <v>36</v>
      </c>
      <c r="L10" s="31">
        <f>(K10/$B$18)*'Ingrediente cena  '!E6</f>
        <v>45</v>
      </c>
      <c r="M10" s="29">
        <f t="shared" si="5"/>
        <v>2.3237980154764948E-3</v>
      </c>
      <c r="N10" s="20"/>
    </row>
    <row r="11" spans="1:14" x14ac:dyDescent="0.2">
      <c r="A11" s="25" t="s">
        <v>69</v>
      </c>
      <c r="B11" s="26" t="s">
        <v>35</v>
      </c>
      <c r="C11" s="27">
        <v>10</v>
      </c>
      <c r="D11" s="28">
        <v>10</v>
      </c>
      <c r="E11" s="29">
        <v>1</v>
      </c>
      <c r="F11" s="28">
        <f t="shared" si="0"/>
        <v>0</v>
      </c>
      <c r="G11" s="29">
        <f t="shared" si="1"/>
        <v>0</v>
      </c>
      <c r="H11" s="45">
        <f>'Ingrediente cena  '!B11</f>
        <v>23.96</v>
      </c>
      <c r="I11" s="30">
        <f t="shared" si="2"/>
        <v>0</v>
      </c>
      <c r="J11" s="30">
        <f t="shared" si="3"/>
        <v>239.60000000000002</v>
      </c>
      <c r="K11" s="30">
        <f t="shared" si="4"/>
        <v>239.60000000000002</v>
      </c>
      <c r="L11" s="31">
        <f>(K11/$B$18)*'Ingrediente cena  '!E6</f>
        <v>299.5</v>
      </c>
      <c r="M11" s="29">
        <f t="shared" si="5"/>
        <v>1.5466166791893561E-2</v>
      </c>
      <c r="N11" s="20"/>
    </row>
    <row r="12" spans="1:14" x14ac:dyDescent="0.2">
      <c r="A12" s="25" t="s">
        <v>70</v>
      </c>
      <c r="B12" s="26" t="s">
        <v>35</v>
      </c>
      <c r="C12" s="27">
        <v>285</v>
      </c>
      <c r="D12" s="28">
        <v>285</v>
      </c>
      <c r="E12" s="29">
        <v>1</v>
      </c>
      <c r="F12" s="28">
        <f t="shared" si="0"/>
        <v>0</v>
      </c>
      <c r="G12" s="29">
        <f t="shared" si="1"/>
        <v>0</v>
      </c>
      <c r="H12" s="45">
        <f>'Ingrediente cena  '!B12</f>
        <v>5.15</v>
      </c>
      <c r="I12" s="30">
        <f t="shared" si="2"/>
        <v>0</v>
      </c>
      <c r="J12" s="30">
        <f t="shared" si="3"/>
        <v>1467.75</v>
      </c>
      <c r="K12" s="30">
        <f t="shared" si="4"/>
        <v>1467.75</v>
      </c>
      <c r="L12" s="31">
        <f>(K12/$B$18)*'Ingrediente cena  '!E6</f>
        <v>1834.6875</v>
      </c>
      <c r="M12" s="29">
        <f t="shared" si="5"/>
        <v>9.4743181589322933E-2</v>
      </c>
      <c r="N12" s="20"/>
    </row>
    <row r="13" spans="1:14" x14ac:dyDescent="0.2">
      <c r="A13" s="25" t="s">
        <v>71</v>
      </c>
      <c r="B13" s="26" t="s">
        <v>35</v>
      </c>
      <c r="C13" s="27">
        <v>20</v>
      </c>
      <c r="D13" s="28">
        <v>20</v>
      </c>
      <c r="E13" s="29">
        <v>1</v>
      </c>
      <c r="F13" s="28">
        <f t="shared" si="0"/>
        <v>0</v>
      </c>
      <c r="G13" s="29">
        <f t="shared" si="1"/>
        <v>0</v>
      </c>
      <c r="H13" s="45">
        <f>'Ingrediente cena  '!B13</f>
        <v>18.04</v>
      </c>
      <c r="I13" s="30">
        <f t="shared" si="2"/>
        <v>0</v>
      </c>
      <c r="J13" s="30">
        <f t="shared" si="3"/>
        <v>360.79999999999995</v>
      </c>
      <c r="K13" s="30">
        <f t="shared" si="4"/>
        <v>360.79999999999995</v>
      </c>
      <c r="L13" s="31">
        <f>(K13/$B$18)*'Ingrediente cena  '!E6</f>
        <v>450.99999999999994</v>
      </c>
      <c r="M13" s="29">
        <f t="shared" si="5"/>
        <v>2.3289620110664426E-2</v>
      </c>
      <c r="N13" s="20"/>
    </row>
    <row r="14" spans="1:14" x14ac:dyDescent="0.2">
      <c r="A14" s="46"/>
      <c r="B14" s="47"/>
      <c r="C14" s="48"/>
      <c r="D14" s="49"/>
      <c r="E14" s="50"/>
      <c r="F14" s="49"/>
      <c r="G14" s="50"/>
      <c r="H14" s="51"/>
      <c r="I14" s="49"/>
      <c r="J14" s="49"/>
      <c r="K14" s="49"/>
      <c r="L14" s="52"/>
      <c r="M14" s="5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">
      <c r="A16" s="32" t="s">
        <v>38</v>
      </c>
      <c r="B16" s="33"/>
      <c r="C16" s="34" t="s">
        <v>39</v>
      </c>
      <c r="D16" s="35">
        <f>SUM(D5:D7)</f>
        <v>816</v>
      </c>
      <c r="E16" s="33"/>
      <c r="F16" s="33"/>
      <c r="G16" s="33"/>
      <c r="H16" s="30">
        <f>SUM(H5:H7)</f>
        <v>47.901052631578949</v>
      </c>
      <c r="I16" s="33"/>
      <c r="J16" s="33"/>
      <c r="K16" s="30">
        <f>SUM(K5:K7)</f>
        <v>14302.48</v>
      </c>
      <c r="L16" s="30">
        <f t="shared" ref="L16:M16" si="6">L5+L6+L7+L8</f>
        <v>19364.849999999999</v>
      </c>
      <c r="M16" s="36">
        <f t="shared" si="6"/>
        <v>1</v>
      </c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">
      <c r="A18" s="32" t="s">
        <v>40</v>
      </c>
      <c r="B18" s="28">
        <v>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">
      <c r="A19" s="32" t="s">
        <v>41</v>
      </c>
      <c r="B19" s="30">
        <f>K16/B18</f>
        <v>1787.81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">
      <c r="A20" s="32" t="s">
        <v>42</v>
      </c>
      <c r="B20" s="26">
        <f>D16/B18</f>
        <v>102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3" spans="1:14" ht="15.75" customHeight="1" x14ac:dyDescent="0.25">
      <c r="A23" s="19" t="s">
        <v>20</v>
      </c>
      <c r="B23" s="94" t="s">
        <v>93</v>
      </c>
      <c r="C23" s="95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.75" customHeight="1" x14ac:dyDescent="0.3">
      <c r="A25" s="21" t="s">
        <v>22</v>
      </c>
      <c r="B25" s="22" t="s">
        <v>23</v>
      </c>
      <c r="C25" s="22" t="s">
        <v>24</v>
      </c>
      <c r="D25" s="22" t="s">
        <v>25</v>
      </c>
      <c r="E25" s="22" t="s">
        <v>26</v>
      </c>
      <c r="F25" s="22" t="s">
        <v>27</v>
      </c>
      <c r="G25" s="22" t="s">
        <v>28</v>
      </c>
      <c r="H25" s="22" t="s">
        <v>29</v>
      </c>
      <c r="I25" s="22" t="s">
        <v>30</v>
      </c>
      <c r="J25" s="22" t="s">
        <v>31</v>
      </c>
      <c r="K25" s="22" t="s">
        <v>32</v>
      </c>
      <c r="L25" s="23" t="s">
        <v>33</v>
      </c>
      <c r="M25" s="23" t="s">
        <v>34</v>
      </c>
      <c r="N25" s="24"/>
    </row>
    <row r="26" spans="1:14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">
      <c r="A27" s="25" t="s">
        <v>94</v>
      </c>
      <c r="B27" s="26" t="s">
        <v>35</v>
      </c>
      <c r="C27" s="27">
        <v>72</v>
      </c>
      <c r="D27" s="28">
        <v>72</v>
      </c>
      <c r="E27" s="29">
        <v>1</v>
      </c>
      <c r="F27" s="28">
        <f t="shared" ref="F27:F30" si="7">C27-D27</f>
        <v>0</v>
      </c>
      <c r="G27" s="29">
        <f t="shared" ref="G27:G30" si="8">F27/C27</f>
        <v>0</v>
      </c>
      <c r="H27" s="45">
        <f>'Ingrediente cena  '!B17</f>
        <v>11.36</v>
      </c>
      <c r="I27" s="30">
        <f t="shared" ref="I27:I30" si="9">F27*H27</f>
        <v>0</v>
      </c>
      <c r="J27" s="30">
        <f t="shared" ref="J27:J30" si="10">D27*H27</f>
        <v>817.92</v>
      </c>
      <c r="K27" s="30">
        <f t="shared" ref="K27:K30" si="11">C27*H27</f>
        <v>817.92</v>
      </c>
      <c r="L27" s="31">
        <f>(K27/$B$35)*'Ingrediente cena  '!E6</f>
        <v>1022.4</v>
      </c>
      <c r="M27" s="29">
        <f t="shared" ref="M27:M30" si="12">L27/$L$33</f>
        <v>0.37272718987249476</v>
      </c>
      <c r="N27" s="20"/>
    </row>
    <row r="28" spans="1:14" x14ac:dyDescent="0.2">
      <c r="A28" s="25" t="s">
        <v>70</v>
      </c>
      <c r="B28" s="26" t="s">
        <v>35</v>
      </c>
      <c r="C28" s="27">
        <v>150</v>
      </c>
      <c r="D28" s="28">
        <v>150</v>
      </c>
      <c r="E28" s="29">
        <v>1</v>
      </c>
      <c r="F28" s="28">
        <f t="shared" si="7"/>
        <v>0</v>
      </c>
      <c r="G28" s="29">
        <f t="shared" si="8"/>
        <v>0</v>
      </c>
      <c r="H28" s="45">
        <f>'Ingrediente cena  '!B12</f>
        <v>5.15</v>
      </c>
      <c r="I28" s="30">
        <f t="shared" si="9"/>
        <v>0</v>
      </c>
      <c r="J28" s="30">
        <f t="shared" si="10"/>
        <v>772.5</v>
      </c>
      <c r="K28" s="30">
        <f t="shared" si="11"/>
        <v>772.5</v>
      </c>
      <c r="L28" s="31">
        <f>(K28/$B$35)*'Ingrediente cena  '!E6</f>
        <v>965.625</v>
      </c>
      <c r="M28" s="29">
        <f t="shared" si="12"/>
        <v>0.35202923779404122</v>
      </c>
      <c r="N28" s="20"/>
    </row>
    <row r="29" spans="1:14" x14ac:dyDescent="0.2">
      <c r="A29" s="25" t="s">
        <v>77</v>
      </c>
      <c r="B29" s="26" t="s">
        <v>35</v>
      </c>
      <c r="C29" s="27">
        <v>40</v>
      </c>
      <c r="D29" s="28">
        <v>40</v>
      </c>
      <c r="E29" s="29">
        <v>1</v>
      </c>
      <c r="F29" s="28">
        <f t="shared" si="7"/>
        <v>0</v>
      </c>
      <c r="G29" s="29">
        <f t="shared" si="8"/>
        <v>0</v>
      </c>
      <c r="H29" s="45">
        <f>'Ingrediente cena  '!B19</f>
        <v>10.5</v>
      </c>
      <c r="I29" s="30">
        <f t="shared" si="9"/>
        <v>0</v>
      </c>
      <c r="J29" s="30">
        <f t="shared" si="10"/>
        <v>420</v>
      </c>
      <c r="K29" s="30">
        <f t="shared" si="11"/>
        <v>420</v>
      </c>
      <c r="L29" s="31">
        <f>(K29/$B$35)*'Ingrediente cena  '!E6</f>
        <v>525</v>
      </c>
      <c r="M29" s="29">
        <f t="shared" si="12"/>
        <v>0.19139453705307097</v>
      </c>
      <c r="N29" s="20"/>
    </row>
    <row r="30" spans="1:14" x14ac:dyDescent="0.2">
      <c r="A30" s="25" t="s">
        <v>95</v>
      </c>
      <c r="B30" s="26" t="s">
        <v>35</v>
      </c>
      <c r="C30" s="27">
        <v>10</v>
      </c>
      <c r="D30" s="28">
        <v>10</v>
      </c>
      <c r="E30" s="29">
        <v>1</v>
      </c>
      <c r="F30" s="28">
        <f t="shared" si="7"/>
        <v>0</v>
      </c>
      <c r="G30" s="29">
        <f t="shared" si="8"/>
        <v>0</v>
      </c>
      <c r="H30" s="45">
        <f>'Ingrediente cena  '!B20</f>
        <v>18.399999999999999</v>
      </c>
      <c r="I30" s="30">
        <f t="shared" si="9"/>
        <v>0</v>
      </c>
      <c r="J30" s="30">
        <f t="shared" si="10"/>
        <v>184</v>
      </c>
      <c r="K30" s="30">
        <f t="shared" si="11"/>
        <v>184</v>
      </c>
      <c r="L30" s="31">
        <f>(K30/$B$35)*'Ingrediente cena  '!E6</f>
        <v>230</v>
      </c>
      <c r="M30" s="29">
        <f t="shared" si="12"/>
        <v>8.3849035280392989E-2</v>
      </c>
      <c r="N30" s="20"/>
    </row>
    <row r="31" spans="1:14" x14ac:dyDescent="0.2">
      <c r="A31" s="46"/>
      <c r="B31" s="47"/>
      <c r="C31" s="48"/>
      <c r="D31" s="49"/>
      <c r="E31" s="50"/>
      <c r="F31" s="49"/>
      <c r="G31" s="50"/>
      <c r="H31" s="51"/>
      <c r="I31" s="49"/>
      <c r="J31" s="49"/>
      <c r="K31" s="49"/>
      <c r="L31" s="52"/>
      <c r="M31" s="50"/>
      <c r="N31" s="20"/>
    </row>
    <row r="32" spans="1:14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2">
      <c r="A33" s="32" t="s">
        <v>38</v>
      </c>
      <c r="B33" s="33"/>
      <c r="C33" s="34" t="s">
        <v>39</v>
      </c>
      <c r="D33" s="35">
        <f>SUM(D27:D29)</f>
        <v>262</v>
      </c>
      <c r="E33" s="33"/>
      <c r="F33" s="33"/>
      <c r="G33" s="33"/>
      <c r="H33" s="30">
        <f>SUM(H27:H29)</f>
        <v>27.009999999999998</v>
      </c>
      <c r="I33" s="33"/>
      <c r="J33" s="33"/>
      <c r="K33" s="30">
        <f>SUM(K27:K29)</f>
        <v>2010.42</v>
      </c>
      <c r="L33" s="30">
        <f t="shared" ref="L33:M33" si="13">L27+L28+L29+L30</f>
        <v>2743.0250000000001</v>
      </c>
      <c r="M33" s="36">
        <f t="shared" si="13"/>
        <v>0.99999999999999989</v>
      </c>
      <c r="N33" s="20"/>
    </row>
    <row r="34" spans="1:14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x14ac:dyDescent="0.2">
      <c r="A35" s="32" t="s">
        <v>40</v>
      </c>
      <c r="B35" s="28">
        <v>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x14ac:dyDescent="0.2">
      <c r="A36" s="32" t="s">
        <v>41</v>
      </c>
      <c r="B36" s="30">
        <f>K33/B35</f>
        <v>251.30250000000001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x14ac:dyDescent="0.2">
      <c r="A37" s="32" t="s">
        <v>42</v>
      </c>
      <c r="B37" s="26">
        <f>D33/B35</f>
        <v>32.75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40" spans="1:14" ht="12.75" x14ac:dyDescent="0.2">
      <c r="A40" s="53" t="s">
        <v>96</v>
      </c>
      <c r="B40" s="54">
        <f>B36+B19</f>
        <v>2039.1125</v>
      </c>
    </row>
  </sheetData>
  <mergeCells count="2">
    <mergeCell ref="B1:D1"/>
    <mergeCell ref="B23:D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4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18.5703125" customWidth="1"/>
    <col min="3" max="3" width="17.7109375" customWidth="1"/>
    <col min="4" max="4" width="16.28515625" customWidth="1"/>
  </cols>
  <sheetData>
    <row r="1" spans="1:13" ht="15.75" customHeight="1" x14ac:dyDescent="0.25">
      <c r="A1" s="19" t="s">
        <v>20</v>
      </c>
      <c r="B1" s="94" t="s">
        <v>97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">
      <c r="A5" s="25" t="s">
        <v>71</v>
      </c>
      <c r="B5" s="26" t="s">
        <v>35</v>
      </c>
      <c r="C5" s="27">
        <v>120</v>
      </c>
      <c r="D5" s="28">
        <v>120</v>
      </c>
      <c r="E5" s="29">
        <v>1</v>
      </c>
      <c r="F5" s="28">
        <f t="shared" ref="F5:F16" si="0">C5-D5</f>
        <v>0</v>
      </c>
      <c r="G5" s="29">
        <f t="shared" ref="G5:G16" si="1">F5/C5</f>
        <v>0</v>
      </c>
      <c r="H5" s="45">
        <f>'Ingrediente cena  '!B13</f>
        <v>18.04</v>
      </c>
      <c r="I5" s="30">
        <f t="shared" ref="I5:I14" si="2">F5*H5</f>
        <v>0</v>
      </c>
      <c r="J5" s="30">
        <f t="shared" ref="J5:J14" si="3">D5*H5</f>
        <v>2164.7999999999997</v>
      </c>
      <c r="K5" s="30">
        <f t="shared" ref="K5:K14" si="4">C5*H5</f>
        <v>2164.7999999999997</v>
      </c>
      <c r="L5" s="31">
        <f>(K5/$B$22)*'Ingrediente cena  '!E6</f>
        <v>21647.999999999996</v>
      </c>
      <c r="M5" s="29">
        <f t="shared" ref="M5:M14" si="5">L5/$L$20</f>
        <v>0.7425523522047095</v>
      </c>
    </row>
    <row r="6" spans="1:13" x14ac:dyDescent="0.2">
      <c r="A6" s="25" t="s">
        <v>72</v>
      </c>
      <c r="B6" s="26" t="s">
        <v>35</v>
      </c>
      <c r="C6" s="27">
        <v>75</v>
      </c>
      <c r="D6" s="28">
        <f>C6*E6</f>
        <v>63.824999999999996</v>
      </c>
      <c r="E6" s="29">
        <v>0.85099999999999998</v>
      </c>
      <c r="F6" s="55">
        <f t="shared" si="0"/>
        <v>11.175000000000004</v>
      </c>
      <c r="G6" s="29">
        <f t="shared" si="1"/>
        <v>0.14900000000000005</v>
      </c>
      <c r="H6" s="45">
        <f>'Ingrediente cena  '!B14</f>
        <v>1.71</v>
      </c>
      <c r="I6" s="30">
        <f t="shared" si="2"/>
        <v>19.109250000000007</v>
      </c>
      <c r="J6" s="30">
        <f t="shared" si="3"/>
        <v>109.14075</v>
      </c>
      <c r="K6" s="30">
        <f t="shared" si="4"/>
        <v>128.25</v>
      </c>
      <c r="L6" s="31">
        <f>(K6/$B$22)*'Ingrediente cena  '!E6</f>
        <v>1282.5</v>
      </c>
      <c r="M6" s="29">
        <f t="shared" si="5"/>
        <v>4.3991287495497973E-2</v>
      </c>
    </row>
    <row r="7" spans="1:13" x14ac:dyDescent="0.2">
      <c r="A7" s="25" t="s">
        <v>73</v>
      </c>
      <c r="B7" s="26" t="s">
        <v>35</v>
      </c>
      <c r="C7" s="27">
        <v>45</v>
      </c>
      <c r="D7" s="28">
        <v>41.53</v>
      </c>
      <c r="E7" s="29">
        <v>0.92300000000000004</v>
      </c>
      <c r="F7" s="28">
        <f t="shared" si="0"/>
        <v>3.4699999999999989</v>
      </c>
      <c r="G7" s="29">
        <f t="shared" si="1"/>
        <v>7.7111111111111089E-2</v>
      </c>
      <c r="H7" s="45">
        <f>'Ingrediente cena  '!B15</f>
        <v>2.7</v>
      </c>
      <c r="I7" s="30">
        <f t="shared" si="2"/>
        <v>9.368999999999998</v>
      </c>
      <c r="J7" s="30">
        <f t="shared" si="3"/>
        <v>112.13100000000001</v>
      </c>
      <c r="K7" s="30">
        <f t="shared" si="4"/>
        <v>121.50000000000001</v>
      </c>
      <c r="L7" s="31">
        <f>(K7/$B$22)*'Ingrediente cena  '!E6</f>
        <v>1215.0000000000002</v>
      </c>
      <c r="M7" s="29">
        <f t="shared" si="5"/>
        <v>4.1675956574682295E-2</v>
      </c>
    </row>
    <row r="8" spans="1:13" x14ac:dyDescent="0.2">
      <c r="A8" s="25" t="s">
        <v>66</v>
      </c>
      <c r="B8" s="26" t="s">
        <v>35</v>
      </c>
      <c r="C8" s="27">
        <v>80</v>
      </c>
      <c r="D8" s="28">
        <v>80</v>
      </c>
      <c r="E8" s="29">
        <v>1</v>
      </c>
      <c r="F8" s="28">
        <f t="shared" si="0"/>
        <v>0</v>
      </c>
      <c r="G8" s="29">
        <f t="shared" si="1"/>
        <v>0</v>
      </c>
      <c r="H8" s="45">
        <f>'Ingrediente cena  '!B8</f>
        <v>6.26</v>
      </c>
      <c r="I8" s="30">
        <f t="shared" si="2"/>
        <v>0</v>
      </c>
      <c r="J8" s="30">
        <f t="shared" si="3"/>
        <v>500.79999999999995</v>
      </c>
      <c r="K8" s="30">
        <f t="shared" si="4"/>
        <v>500.79999999999995</v>
      </c>
      <c r="L8" s="31">
        <f>(K8/$B$22)*'Ingrediente cena  '!E6</f>
        <v>5008</v>
      </c>
      <c r="M8" s="29">
        <f t="shared" si="5"/>
        <v>0.17178040372511022</v>
      </c>
    </row>
    <row r="9" spans="1:13" x14ac:dyDescent="0.2">
      <c r="A9" s="25" t="s">
        <v>98</v>
      </c>
      <c r="B9" s="26" t="s">
        <v>35</v>
      </c>
      <c r="C9" s="27">
        <v>80</v>
      </c>
      <c r="D9" s="28">
        <v>80</v>
      </c>
      <c r="E9" s="29">
        <v>1</v>
      </c>
      <c r="F9" s="28">
        <f t="shared" si="0"/>
        <v>0</v>
      </c>
      <c r="G9" s="29">
        <f t="shared" si="1"/>
        <v>0</v>
      </c>
      <c r="H9" s="45">
        <f>'Ingrediente cena  '!B7</f>
        <v>19.421052631578949</v>
      </c>
      <c r="I9" s="30">
        <f t="shared" si="2"/>
        <v>0</v>
      </c>
      <c r="J9" s="30">
        <f t="shared" si="3"/>
        <v>1553.6842105263158</v>
      </c>
      <c r="K9" s="30">
        <f t="shared" si="4"/>
        <v>1553.6842105263158</v>
      </c>
      <c r="L9" s="31">
        <f>(K9/$B$22)*'Ingrediente cena  '!E6</f>
        <v>15536.842105263158</v>
      </c>
      <c r="M9" s="29">
        <f t="shared" si="5"/>
        <v>0.53293231019476772</v>
      </c>
    </row>
    <row r="10" spans="1:13" x14ac:dyDescent="0.2">
      <c r="A10" s="25" t="s">
        <v>67</v>
      </c>
      <c r="B10" s="26" t="s">
        <v>35</v>
      </c>
      <c r="C10" s="27">
        <v>30</v>
      </c>
      <c r="D10" s="28">
        <v>30</v>
      </c>
      <c r="E10" s="29">
        <v>1</v>
      </c>
      <c r="F10" s="28">
        <f t="shared" si="0"/>
        <v>0</v>
      </c>
      <c r="G10" s="29">
        <f t="shared" si="1"/>
        <v>0</v>
      </c>
      <c r="H10" s="45">
        <f>'Ingrediente cena  '!B9</f>
        <v>2.85</v>
      </c>
      <c r="I10" s="30">
        <f t="shared" si="2"/>
        <v>0</v>
      </c>
      <c r="J10" s="30">
        <f t="shared" si="3"/>
        <v>85.5</v>
      </c>
      <c r="K10" s="30">
        <f t="shared" si="4"/>
        <v>85.5</v>
      </c>
      <c r="L10" s="31">
        <f>(K10/B22)*'Ingrediente cena  '!E6</f>
        <v>855</v>
      </c>
      <c r="M10" s="29">
        <f t="shared" si="5"/>
        <v>2.9327524996998647E-2</v>
      </c>
    </row>
    <row r="11" spans="1:13" x14ac:dyDescent="0.2">
      <c r="A11" s="25" t="s">
        <v>68</v>
      </c>
      <c r="B11" s="26" t="s">
        <v>35</v>
      </c>
      <c r="C11" s="27">
        <v>50</v>
      </c>
      <c r="D11" s="28">
        <v>50</v>
      </c>
      <c r="E11" s="29">
        <v>1</v>
      </c>
      <c r="F11" s="28">
        <f t="shared" si="0"/>
        <v>0</v>
      </c>
      <c r="G11" s="29">
        <f t="shared" si="1"/>
        <v>0</v>
      </c>
      <c r="H11" s="45">
        <f>'Ingrediente cena  '!B10</f>
        <v>1.2</v>
      </c>
      <c r="I11" s="30">
        <f t="shared" si="2"/>
        <v>0</v>
      </c>
      <c r="J11" s="30">
        <f t="shared" si="3"/>
        <v>60</v>
      </c>
      <c r="K11" s="30">
        <f t="shared" si="4"/>
        <v>60</v>
      </c>
      <c r="L11" s="31">
        <f>(K11/B22)*'Ingrediente cena  '!E6</f>
        <v>600</v>
      </c>
      <c r="M11" s="29">
        <f t="shared" si="5"/>
        <v>2.0580719296139402E-2</v>
      </c>
    </row>
    <row r="12" spans="1:13" x14ac:dyDescent="0.2">
      <c r="A12" s="25" t="s">
        <v>69</v>
      </c>
      <c r="B12" s="26" t="s">
        <v>35</v>
      </c>
      <c r="C12" s="27">
        <v>30</v>
      </c>
      <c r="D12" s="28">
        <v>30</v>
      </c>
      <c r="E12" s="29">
        <v>1</v>
      </c>
      <c r="F12" s="28">
        <f t="shared" si="0"/>
        <v>0</v>
      </c>
      <c r="G12" s="29">
        <f t="shared" si="1"/>
        <v>0</v>
      </c>
      <c r="H12" s="45">
        <f>'Ingrediente cena  '!B13</f>
        <v>18.04</v>
      </c>
      <c r="I12" s="30">
        <f t="shared" si="2"/>
        <v>0</v>
      </c>
      <c r="J12" s="30">
        <f t="shared" si="3"/>
        <v>541.19999999999993</v>
      </c>
      <c r="K12" s="30">
        <f t="shared" si="4"/>
        <v>541.19999999999993</v>
      </c>
      <c r="L12" s="31">
        <f>(K12/B22)*'Ingrediente cena  '!E6</f>
        <v>5411.9999999999991</v>
      </c>
      <c r="M12" s="29">
        <f t="shared" si="5"/>
        <v>0.18563808805117737</v>
      </c>
    </row>
    <row r="13" spans="1:13" x14ac:dyDescent="0.2">
      <c r="A13" s="25" t="s">
        <v>70</v>
      </c>
      <c r="B13" s="26" t="s">
        <v>35</v>
      </c>
      <c r="C13" s="27">
        <v>285</v>
      </c>
      <c r="D13" s="28">
        <v>285</v>
      </c>
      <c r="E13" s="29">
        <v>1</v>
      </c>
      <c r="F13" s="28">
        <f t="shared" si="0"/>
        <v>0</v>
      </c>
      <c r="G13" s="29">
        <f t="shared" si="1"/>
        <v>0</v>
      </c>
      <c r="H13" s="45">
        <f>'Ingrediente cena  '!B12</f>
        <v>5.15</v>
      </c>
      <c r="I13" s="30">
        <f t="shared" si="2"/>
        <v>0</v>
      </c>
      <c r="J13" s="30">
        <f t="shared" si="3"/>
        <v>1467.75</v>
      </c>
      <c r="K13" s="30">
        <f t="shared" si="4"/>
        <v>1467.75</v>
      </c>
      <c r="L13" s="31">
        <f>(K13/B22)*'Ingrediente cena  '!E6</f>
        <v>14677.5</v>
      </c>
      <c r="M13" s="29">
        <f t="shared" si="5"/>
        <v>0.50345584578181013</v>
      </c>
    </row>
    <row r="14" spans="1:13" x14ac:dyDescent="0.2">
      <c r="A14" s="25" t="s">
        <v>74</v>
      </c>
      <c r="B14" s="26" t="s">
        <v>35</v>
      </c>
      <c r="C14" s="27">
        <v>200</v>
      </c>
      <c r="D14" s="28">
        <v>200</v>
      </c>
      <c r="E14" s="29">
        <v>1</v>
      </c>
      <c r="F14" s="28">
        <f t="shared" si="0"/>
        <v>0</v>
      </c>
      <c r="G14" s="29">
        <f t="shared" si="1"/>
        <v>0</v>
      </c>
      <c r="H14" s="45">
        <v>27.19</v>
      </c>
      <c r="I14" s="30">
        <f t="shared" si="2"/>
        <v>0</v>
      </c>
      <c r="J14" s="30">
        <f t="shared" si="3"/>
        <v>5438</v>
      </c>
      <c r="K14" s="30">
        <f t="shared" si="4"/>
        <v>5438</v>
      </c>
      <c r="L14" s="31">
        <f>(K14/B22)*'Ingrediente cena  '!E6</f>
        <v>54380</v>
      </c>
      <c r="M14" s="29">
        <f t="shared" si="5"/>
        <v>1.8652991922067679</v>
      </c>
    </row>
    <row r="15" spans="1:13" x14ac:dyDescent="0.2">
      <c r="A15" s="25" t="s">
        <v>76</v>
      </c>
      <c r="B15" s="26" t="s">
        <v>35</v>
      </c>
      <c r="C15" s="27">
        <v>10</v>
      </c>
      <c r="D15" s="28">
        <v>10</v>
      </c>
      <c r="E15" s="29">
        <v>1</v>
      </c>
      <c r="F15" s="28">
        <f t="shared" si="0"/>
        <v>0</v>
      </c>
      <c r="G15" s="29">
        <f t="shared" si="1"/>
        <v>0</v>
      </c>
      <c r="H15" s="45">
        <v>27.19</v>
      </c>
      <c r="I15" s="28"/>
      <c r="J15" s="28"/>
      <c r="K15" s="28"/>
      <c r="L15" s="31"/>
      <c r="M15" s="29"/>
    </row>
    <row r="16" spans="1:13" x14ac:dyDescent="0.2">
      <c r="A16" s="25" t="s">
        <v>99</v>
      </c>
      <c r="B16" s="26" t="s">
        <v>35</v>
      </c>
      <c r="C16" s="27">
        <v>55</v>
      </c>
      <c r="D16" s="28">
        <v>35</v>
      </c>
      <c r="E16" s="29">
        <v>0.63629999999999998</v>
      </c>
      <c r="F16" s="28">
        <f t="shared" si="0"/>
        <v>20</v>
      </c>
      <c r="G16" s="29">
        <f t="shared" si="1"/>
        <v>0.36363636363636365</v>
      </c>
      <c r="H16" s="45">
        <f>'Ingrediente cena  '!B17</f>
        <v>11.36</v>
      </c>
      <c r="I16" s="30">
        <f>F16*H16</f>
        <v>227.2</v>
      </c>
      <c r="J16" s="30">
        <f>D16*H16</f>
        <v>397.59999999999997</v>
      </c>
      <c r="K16" s="30">
        <f>C16*H16</f>
        <v>624.79999999999995</v>
      </c>
      <c r="L16" s="31">
        <f>(K16/B22)*'Ingrediente cena  '!E6</f>
        <v>6248</v>
      </c>
      <c r="M16" s="29">
        <f>L16/$L$20</f>
        <v>0.21431389027046499</v>
      </c>
    </row>
    <row r="17" spans="1:13" x14ac:dyDescent="0.2">
      <c r="A17" s="46"/>
      <c r="B17" s="47"/>
      <c r="C17" s="48"/>
      <c r="D17" s="49"/>
      <c r="E17" s="50"/>
      <c r="F17" s="49"/>
      <c r="G17" s="50"/>
      <c r="H17" s="51"/>
      <c r="I17" s="49"/>
      <c r="J17" s="49"/>
      <c r="K17" s="49"/>
      <c r="L17" s="52"/>
      <c r="M17" s="50"/>
    </row>
    <row r="18" spans="1:13" x14ac:dyDescent="0.2">
      <c r="A18" s="46"/>
      <c r="B18" s="47"/>
      <c r="C18" s="48"/>
      <c r="D18" s="49"/>
      <c r="E18" s="50"/>
      <c r="F18" s="49"/>
      <c r="G18" s="50"/>
      <c r="H18" s="51"/>
      <c r="I18" s="49"/>
      <c r="J18" s="49"/>
      <c r="K18" s="49"/>
      <c r="L18" s="52"/>
      <c r="M18" s="50"/>
    </row>
    <row r="19" spans="1:13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">
      <c r="A20" s="32" t="s">
        <v>38</v>
      </c>
      <c r="B20" s="33"/>
      <c r="C20" s="34" t="s">
        <v>39</v>
      </c>
      <c r="D20" s="35">
        <f>SUM(D5:D7)</f>
        <v>225.35499999999999</v>
      </c>
      <c r="E20" s="33"/>
      <c r="F20" s="33"/>
      <c r="G20" s="33"/>
      <c r="H20" s="30">
        <f>SUM(H5:H7)</f>
        <v>22.45</v>
      </c>
      <c r="I20" s="33"/>
      <c r="J20" s="33"/>
      <c r="K20" s="30">
        <f>SUM(K5:K7)</f>
        <v>2414.5499999999997</v>
      </c>
      <c r="L20" s="30">
        <f t="shared" ref="L20:M20" si="6">L5+L6+L7+L8</f>
        <v>29153.499999999996</v>
      </c>
      <c r="M20" s="36">
        <f t="shared" si="6"/>
        <v>1</v>
      </c>
    </row>
    <row r="21" spans="1:13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32" t="s">
        <v>40</v>
      </c>
      <c r="B22" s="28">
        <v>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">
      <c r="A23" s="32" t="s">
        <v>41</v>
      </c>
      <c r="B23" s="30">
        <f>K20/B22</f>
        <v>2414.5499999999997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">
      <c r="A24" s="32" t="s">
        <v>42</v>
      </c>
      <c r="B24" s="26">
        <f>D20/B22</f>
        <v>225.35499999999999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16"/>
  <sheetViews>
    <sheetView workbookViewId="0"/>
  </sheetViews>
  <sheetFormatPr baseColWidth="10" defaultColWidth="14.42578125" defaultRowHeight="15.75" customHeight="1" x14ac:dyDescent="0.2"/>
  <sheetData>
    <row r="1" spans="1:14" ht="15.75" customHeight="1" x14ac:dyDescent="0.25">
      <c r="A1" s="19" t="s">
        <v>20</v>
      </c>
      <c r="B1" s="94" t="s">
        <v>100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101</v>
      </c>
      <c r="B5" s="26" t="s">
        <v>35</v>
      </c>
      <c r="C5" s="27">
        <v>1000</v>
      </c>
      <c r="D5" s="28">
        <v>1000</v>
      </c>
      <c r="E5" s="29">
        <v>1</v>
      </c>
      <c r="F5" s="28">
        <f t="shared" ref="F5:F9" si="0">C5-D5</f>
        <v>0</v>
      </c>
      <c r="G5" s="29">
        <f t="shared" ref="G5:G9" si="1">F5/C5</f>
        <v>0</v>
      </c>
      <c r="H5" s="45">
        <f>'Ingrediente cena  '!B21</f>
        <v>6</v>
      </c>
      <c r="I5" s="30">
        <f t="shared" ref="I5:I9" si="2">F5*H5</f>
        <v>0</v>
      </c>
      <c r="J5" s="30">
        <f t="shared" ref="J5:J9" si="3">D5*H5</f>
        <v>6000</v>
      </c>
      <c r="K5" s="30">
        <f t="shared" ref="K5:K9" si="4">C5*H5</f>
        <v>6000</v>
      </c>
      <c r="L5" s="31">
        <f>(K5/$B$14)*'Ingrediente cena  '!E6</f>
        <v>4000</v>
      </c>
      <c r="M5" s="29">
        <f t="shared" ref="M5:M9" si="5">L5/$L$12</f>
        <v>0.35899982648341722</v>
      </c>
      <c r="N5" s="20"/>
    </row>
    <row r="6" spans="1:14" x14ac:dyDescent="0.2">
      <c r="A6" s="25" t="s">
        <v>80</v>
      </c>
      <c r="B6" s="26" t="s">
        <v>35</v>
      </c>
      <c r="C6" s="27">
        <v>50</v>
      </c>
      <c r="D6" s="28">
        <f>C6*E6</f>
        <v>50</v>
      </c>
      <c r="E6" s="29">
        <v>1</v>
      </c>
      <c r="F6" s="28">
        <f t="shared" si="0"/>
        <v>0</v>
      </c>
      <c r="G6" s="29">
        <f t="shared" si="1"/>
        <v>0</v>
      </c>
      <c r="H6" s="45">
        <f>'Ingrediente cena  '!B22</f>
        <v>57.8</v>
      </c>
      <c r="I6" s="30">
        <f t="shared" si="2"/>
        <v>0</v>
      </c>
      <c r="J6" s="30">
        <f t="shared" si="3"/>
        <v>2890</v>
      </c>
      <c r="K6" s="30">
        <f t="shared" si="4"/>
        <v>2890</v>
      </c>
      <c r="L6" s="31">
        <f>(K6/$B$14)*'Ingrediente cena  '!E6</f>
        <v>1926.6666666666665</v>
      </c>
      <c r="M6" s="29">
        <f t="shared" si="5"/>
        <v>0.17291824975617928</v>
      </c>
      <c r="N6" s="20"/>
    </row>
    <row r="7" spans="1:14" x14ac:dyDescent="0.2">
      <c r="A7" s="25" t="s">
        <v>102</v>
      </c>
      <c r="B7" s="26" t="s">
        <v>35</v>
      </c>
      <c r="C7" s="27">
        <v>3000</v>
      </c>
      <c r="D7" s="28">
        <v>3000</v>
      </c>
      <c r="E7" s="29">
        <v>1</v>
      </c>
      <c r="F7" s="28">
        <f t="shared" si="0"/>
        <v>0</v>
      </c>
      <c r="G7" s="29">
        <f t="shared" si="1"/>
        <v>0</v>
      </c>
      <c r="H7" s="45">
        <f>'Ingrediente cena  '!B23</f>
        <v>1.5</v>
      </c>
      <c r="I7" s="30">
        <f t="shared" si="2"/>
        <v>0</v>
      </c>
      <c r="J7" s="30">
        <f t="shared" si="3"/>
        <v>4500</v>
      </c>
      <c r="K7" s="30">
        <f t="shared" si="4"/>
        <v>4500</v>
      </c>
      <c r="L7" s="31">
        <f>(K7/$B$14)*'Ingrediente cena  '!E6</f>
        <v>3000</v>
      </c>
      <c r="M7" s="29">
        <f t="shared" si="5"/>
        <v>0.26924986986256294</v>
      </c>
      <c r="N7" s="20"/>
    </row>
    <row r="8" spans="1:14" x14ac:dyDescent="0.2">
      <c r="A8" s="25" t="s">
        <v>103</v>
      </c>
      <c r="B8" s="26" t="s">
        <v>35</v>
      </c>
      <c r="C8" s="27">
        <v>1000</v>
      </c>
      <c r="D8" s="28">
        <v>1000</v>
      </c>
      <c r="E8" s="29">
        <v>1</v>
      </c>
      <c r="F8" s="28">
        <f t="shared" si="0"/>
        <v>0</v>
      </c>
      <c r="G8" s="29">
        <f t="shared" si="1"/>
        <v>0</v>
      </c>
      <c r="H8" s="45">
        <f>'Ingrediente cena  '!B29</f>
        <v>2.4900000000000002</v>
      </c>
      <c r="I8" s="30">
        <f t="shared" si="2"/>
        <v>0</v>
      </c>
      <c r="J8" s="30">
        <f t="shared" si="3"/>
        <v>2490</v>
      </c>
      <c r="K8" s="30">
        <f t="shared" si="4"/>
        <v>2490</v>
      </c>
      <c r="L8" s="31">
        <f>(K8/$B$14)*'Ingrediente cena  '!E6</f>
        <v>1660</v>
      </c>
      <c r="M8" s="29">
        <f t="shared" si="5"/>
        <v>0.14898492799061816</v>
      </c>
      <c r="N8" s="20"/>
    </row>
    <row r="9" spans="1:14" x14ac:dyDescent="0.2">
      <c r="A9" s="25" t="s">
        <v>50</v>
      </c>
      <c r="B9" s="26" t="s">
        <v>35</v>
      </c>
      <c r="C9" s="27">
        <v>190</v>
      </c>
      <c r="D9" s="28">
        <v>190</v>
      </c>
      <c r="E9" s="29">
        <v>1</v>
      </c>
      <c r="F9" s="28">
        <f t="shared" si="0"/>
        <v>0</v>
      </c>
      <c r="G9" s="29">
        <f t="shared" si="1"/>
        <v>0</v>
      </c>
      <c r="H9" s="45">
        <f>'Ingrediente cena  '!B24</f>
        <v>17.489999999999998</v>
      </c>
      <c r="I9" s="30">
        <f t="shared" si="2"/>
        <v>0</v>
      </c>
      <c r="J9" s="30">
        <f t="shared" si="3"/>
        <v>3323.1</v>
      </c>
      <c r="K9" s="30">
        <f t="shared" si="4"/>
        <v>3323.1</v>
      </c>
      <c r="L9" s="31">
        <f>(K9/B14)*'Ingrediente cena  '!E6</f>
        <v>2215.4</v>
      </c>
      <c r="M9" s="29">
        <f t="shared" si="5"/>
        <v>0.19883205389784064</v>
      </c>
      <c r="N9" s="20"/>
    </row>
    <row r="10" spans="1:14" x14ac:dyDescent="0.2">
      <c r="A10" s="46"/>
      <c r="B10" s="47"/>
      <c r="C10" s="48"/>
      <c r="D10" s="49"/>
      <c r="E10" s="50"/>
      <c r="F10" s="49"/>
      <c r="G10" s="50"/>
      <c r="H10" s="51"/>
      <c r="I10" s="49"/>
      <c r="J10" s="49"/>
      <c r="K10" s="49"/>
      <c r="L10" s="52"/>
      <c r="M10" s="50"/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38</v>
      </c>
      <c r="B12" s="33"/>
      <c r="C12" s="34" t="s">
        <v>39</v>
      </c>
      <c r="D12" s="35">
        <f>SUM(D5:D7)</f>
        <v>4050</v>
      </c>
      <c r="E12" s="33"/>
      <c r="F12" s="33"/>
      <c r="G12" s="33"/>
      <c r="H12" s="30">
        <f>SUM(H5:H7)</f>
        <v>65.3</v>
      </c>
      <c r="I12" s="33"/>
      <c r="J12" s="33"/>
      <c r="K12" s="30">
        <f>SUM(K5:K7)</f>
        <v>13390</v>
      </c>
      <c r="L12" s="30">
        <f t="shared" ref="L12:M12" si="6">L5+L6+L7+L9</f>
        <v>11142.066666666666</v>
      </c>
      <c r="M12" s="36">
        <f t="shared" si="6"/>
        <v>1</v>
      </c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40</v>
      </c>
      <c r="B14" s="28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32" t="s">
        <v>41</v>
      </c>
      <c r="B15" s="30">
        <f>K12/B14</f>
        <v>892.66666666666663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">
      <c r="A16" s="32" t="s">
        <v>42</v>
      </c>
      <c r="B16" s="26">
        <f>D12/B14</f>
        <v>270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N14"/>
  <sheetViews>
    <sheetView workbookViewId="0"/>
  </sheetViews>
  <sheetFormatPr baseColWidth="10" defaultColWidth="14.42578125" defaultRowHeight="15.75" customHeight="1" x14ac:dyDescent="0.2"/>
  <cols>
    <col min="1" max="1" width="22.140625" customWidth="1"/>
  </cols>
  <sheetData>
    <row r="1" spans="1:14" ht="15.75" customHeight="1" x14ac:dyDescent="0.25">
      <c r="A1" s="19" t="s">
        <v>20</v>
      </c>
      <c r="B1" s="94" t="s">
        <v>104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105</v>
      </c>
      <c r="B5" s="26" t="s">
        <v>35</v>
      </c>
      <c r="C5" s="27">
        <v>2000</v>
      </c>
      <c r="D5" s="28">
        <v>2000</v>
      </c>
      <c r="E5" s="29">
        <v>1</v>
      </c>
      <c r="F5" s="28">
        <f t="shared" ref="F5:F7" si="0">C5-D5</f>
        <v>0</v>
      </c>
      <c r="G5" s="29">
        <f t="shared" ref="G5:G7" si="1">F5/C5</f>
        <v>0</v>
      </c>
      <c r="H5" s="45">
        <f>'Ingrediente cena  '!B25</f>
        <v>12.95</v>
      </c>
      <c r="I5" s="30">
        <f t="shared" ref="I5:I7" si="2">F5*H5</f>
        <v>0</v>
      </c>
      <c r="J5" s="30">
        <f t="shared" ref="J5:J7" si="3">D5*H5</f>
        <v>25900</v>
      </c>
      <c r="K5" s="30">
        <f t="shared" ref="K5:K7" si="4">C5*H5</f>
        <v>25900</v>
      </c>
      <c r="L5" s="31">
        <f>(K5/$B$12)*'Ingrediente cena  '!E6</f>
        <v>17266.666666666668</v>
      </c>
      <c r="M5" s="29">
        <f t="shared" ref="M5:M7" si="5">L5/$L$10</f>
        <v>0.65196596687308062</v>
      </c>
      <c r="N5" s="20"/>
    </row>
    <row r="6" spans="1:14" x14ac:dyDescent="0.2">
      <c r="A6" s="25" t="s">
        <v>101</v>
      </c>
      <c r="B6" s="26" t="s">
        <v>35</v>
      </c>
      <c r="C6" s="27">
        <v>1000</v>
      </c>
      <c r="D6" s="28">
        <f>C6*E6</f>
        <v>1000</v>
      </c>
      <c r="E6" s="29">
        <v>1</v>
      </c>
      <c r="F6" s="28">
        <f t="shared" si="0"/>
        <v>0</v>
      </c>
      <c r="G6" s="29">
        <f t="shared" si="1"/>
        <v>0</v>
      </c>
      <c r="H6" s="45">
        <f>'Ingrediente cena  '!B21</f>
        <v>6</v>
      </c>
      <c r="I6" s="30">
        <f t="shared" si="2"/>
        <v>0</v>
      </c>
      <c r="J6" s="30">
        <f t="shared" si="3"/>
        <v>6000</v>
      </c>
      <c r="K6" s="30">
        <f t="shared" si="4"/>
        <v>6000</v>
      </c>
      <c r="L6" s="31">
        <f>(K6/$B$12)*'Ingrediente cena  '!E6</f>
        <v>4000</v>
      </c>
      <c r="M6" s="29">
        <f t="shared" si="5"/>
        <v>0.15103458692040478</v>
      </c>
      <c r="N6" s="20"/>
    </row>
    <row r="7" spans="1:14" x14ac:dyDescent="0.2">
      <c r="A7" s="25" t="s">
        <v>91</v>
      </c>
      <c r="B7" s="26" t="s">
        <v>35</v>
      </c>
      <c r="C7" s="27">
        <v>700</v>
      </c>
      <c r="D7" s="28">
        <v>700</v>
      </c>
      <c r="E7" s="29">
        <v>1</v>
      </c>
      <c r="F7" s="28">
        <f t="shared" si="0"/>
        <v>0</v>
      </c>
      <c r="G7" s="29">
        <f t="shared" si="1"/>
        <v>0</v>
      </c>
      <c r="H7" s="45">
        <f>'Ingrediente cena  '!B38</f>
        <v>11.18</v>
      </c>
      <c r="I7" s="30">
        <f t="shared" si="2"/>
        <v>0</v>
      </c>
      <c r="J7" s="30">
        <f t="shared" si="3"/>
        <v>7826</v>
      </c>
      <c r="K7" s="30">
        <f t="shared" si="4"/>
        <v>7826</v>
      </c>
      <c r="L7" s="31">
        <f>(K7/$B$12)*'Ingrediente cena  '!E6</f>
        <v>5217.3333333333339</v>
      </c>
      <c r="M7" s="29">
        <f t="shared" si="5"/>
        <v>0.19699944620651466</v>
      </c>
      <c r="N7" s="20"/>
    </row>
    <row r="8" spans="1:14" x14ac:dyDescent="0.2">
      <c r="A8" s="46"/>
      <c r="B8" s="47"/>
      <c r="C8" s="48"/>
      <c r="D8" s="49"/>
      <c r="E8" s="50"/>
      <c r="F8" s="49"/>
      <c r="G8" s="50"/>
      <c r="H8" s="51"/>
      <c r="I8" s="49"/>
      <c r="J8" s="49"/>
      <c r="K8" s="49"/>
      <c r="L8" s="52"/>
      <c r="M8" s="50"/>
      <c r="N8" s="20"/>
    </row>
    <row r="9" spans="1:1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32" t="s">
        <v>38</v>
      </c>
      <c r="B10" s="33"/>
      <c r="C10" s="34" t="s">
        <v>39</v>
      </c>
      <c r="D10" s="35">
        <f>SUM(D5:D7)</f>
        <v>3700</v>
      </c>
      <c r="E10" s="33"/>
      <c r="F10" s="33"/>
      <c r="G10" s="33"/>
      <c r="H10" s="30">
        <f>SUM(H5:H7)</f>
        <v>30.13</v>
      </c>
      <c r="I10" s="33"/>
      <c r="J10" s="33"/>
      <c r="K10" s="30">
        <f>SUM(K5:K7)</f>
        <v>39726</v>
      </c>
      <c r="L10" s="30">
        <f t="shared" ref="L10:M10" si="6">L5+L6+L7</f>
        <v>26484</v>
      </c>
      <c r="M10" s="36">
        <f t="shared" si="6"/>
        <v>1</v>
      </c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40</v>
      </c>
      <c r="B12" s="28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41</v>
      </c>
      <c r="B13" s="30">
        <f>K10/B12</f>
        <v>2648.4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42</v>
      </c>
      <c r="B14" s="26">
        <f>D10/B12</f>
        <v>246.66666666666666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N16"/>
  <sheetViews>
    <sheetView workbookViewId="0"/>
  </sheetViews>
  <sheetFormatPr baseColWidth="10" defaultColWidth="14.42578125" defaultRowHeight="15.75" customHeight="1" x14ac:dyDescent="0.2"/>
  <cols>
    <col min="1" max="1" width="21.28515625" customWidth="1"/>
  </cols>
  <sheetData>
    <row r="1" spans="1:14" ht="15.75" customHeight="1" x14ac:dyDescent="0.25">
      <c r="A1" s="19" t="s">
        <v>20</v>
      </c>
      <c r="B1" s="94" t="s">
        <v>106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107</v>
      </c>
      <c r="B5" s="26" t="s">
        <v>35</v>
      </c>
      <c r="C5" s="27">
        <v>50</v>
      </c>
      <c r="D5" s="28">
        <v>50</v>
      </c>
      <c r="E5" s="29">
        <v>1</v>
      </c>
      <c r="F5" s="28">
        <f t="shared" ref="F5:F9" si="0">C5-D5</f>
        <v>0</v>
      </c>
      <c r="G5" s="29">
        <f t="shared" ref="G5:G9" si="1">F5/C5</f>
        <v>0</v>
      </c>
      <c r="H5" s="45">
        <f>'Ingrediente cena  '!B5</f>
        <v>17.98</v>
      </c>
      <c r="I5" s="30">
        <f t="shared" ref="I5:I9" si="2">F5*H5</f>
        <v>0</v>
      </c>
      <c r="J5" s="30">
        <f t="shared" ref="J5:J9" si="3">D5*H5</f>
        <v>899</v>
      </c>
      <c r="K5" s="30">
        <f t="shared" ref="K5:K9" si="4">C5*H5</f>
        <v>899</v>
      </c>
      <c r="L5" s="31">
        <f>(K5/$B$14)*'Ingrediente cena  '!E6</f>
        <v>599.33333333333326</v>
      </c>
      <c r="M5" s="29">
        <f t="shared" ref="M5:M9" si="5">L5/$L$12</f>
        <v>3.2685028913458626E-2</v>
      </c>
      <c r="N5" s="20"/>
    </row>
    <row r="6" spans="1:14" x14ac:dyDescent="0.2">
      <c r="A6" s="25" t="s">
        <v>85</v>
      </c>
      <c r="B6" s="26" t="s">
        <v>35</v>
      </c>
      <c r="C6" s="27">
        <v>750</v>
      </c>
      <c r="D6" s="28">
        <v>750</v>
      </c>
      <c r="E6" s="29">
        <v>1</v>
      </c>
      <c r="F6" s="28">
        <f t="shared" si="0"/>
        <v>0</v>
      </c>
      <c r="G6" s="29">
        <f t="shared" si="1"/>
        <v>0</v>
      </c>
      <c r="H6" s="45">
        <f>'Ingrediente cena  '!B6</f>
        <v>10.5</v>
      </c>
      <c r="I6" s="30">
        <f t="shared" si="2"/>
        <v>0</v>
      </c>
      <c r="J6" s="30">
        <f t="shared" si="3"/>
        <v>7875</v>
      </c>
      <c r="K6" s="30">
        <f t="shared" si="4"/>
        <v>7875</v>
      </c>
      <c r="L6" s="31">
        <f>(K6/$B$14)*'Ingrediente cena  '!E6</f>
        <v>5250</v>
      </c>
      <c r="M6" s="29">
        <f t="shared" si="5"/>
        <v>0.28631212757896185</v>
      </c>
      <c r="N6" s="20"/>
    </row>
    <row r="7" spans="1:14" x14ac:dyDescent="0.2">
      <c r="A7" s="25" t="s">
        <v>108</v>
      </c>
      <c r="B7" s="26" t="s">
        <v>35</v>
      </c>
      <c r="C7" s="27">
        <v>900</v>
      </c>
      <c r="D7" s="28">
        <v>900</v>
      </c>
      <c r="E7" s="29">
        <v>1</v>
      </c>
      <c r="F7" s="28">
        <f t="shared" si="0"/>
        <v>0</v>
      </c>
      <c r="G7" s="29">
        <f t="shared" si="1"/>
        <v>0</v>
      </c>
      <c r="H7" s="45">
        <f>'Ingrediente cena  '!B7</f>
        <v>19.421052631578949</v>
      </c>
      <c r="I7" s="30">
        <f t="shared" si="2"/>
        <v>0</v>
      </c>
      <c r="J7" s="30">
        <f t="shared" si="3"/>
        <v>17478.947368421053</v>
      </c>
      <c r="K7" s="30">
        <f t="shared" si="4"/>
        <v>17478.947368421053</v>
      </c>
      <c r="L7" s="31">
        <f>(K7/$B$14)*'Ingrediente cena  '!E6</f>
        <v>11652.631578947368</v>
      </c>
      <c r="M7" s="29">
        <f t="shared" si="5"/>
        <v>0.63548375985947014</v>
      </c>
      <c r="N7" s="20"/>
    </row>
    <row r="8" spans="1:14" x14ac:dyDescent="0.2">
      <c r="A8" s="25" t="s">
        <v>11</v>
      </c>
      <c r="B8" s="26" t="s">
        <v>35</v>
      </c>
      <c r="C8" s="27">
        <v>200</v>
      </c>
      <c r="D8" s="28">
        <v>200</v>
      </c>
      <c r="E8" s="29">
        <v>1</v>
      </c>
      <c r="F8" s="28">
        <f t="shared" si="0"/>
        <v>0</v>
      </c>
      <c r="G8" s="29">
        <f t="shared" si="1"/>
        <v>0</v>
      </c>
      <c r="H8" s="45">
        <f>'Ingrediente cena  '!B8</f>
        <v>6.26</v>
      </c>
      <c r="I8" s="30">
        <f t="shared" si="2"/>
        <v>0</v>
      </c>
      <c r="J8" s="30">
        <f t="shared" si="3"/>
        <v>1252</v>
      </c>
      <c r="K8" s="30">
        <f t="shared" si="4"/>
        <v>1252</v>
      </c>
      <c r="L8" s="31">
        <f>(K8/B14)*'Ingrediente cena  '!E6</f>
        <v>834.66666666666674</v>
      </c>
      <c r="M8" s="29">
        <f t="shared" si="5"/>
        <v>4.5519083648109242E-2</v>
      </c>
      <c r="N8" s="20"/>
    </row>
    <row r="9" spans="1:14" x14ac:dyDescent="0.2">
      <c r="A9" s="25" t="s">
        <v>6</v>
      </c>
      <c r="B9" s="26" t="s">
        <v>35</v>
      </c>
      <c r="C9" s="27">
        <v>6000</v>
      </c>
      <c r="D9" s="28">
        <v>6000</v>
      </c>
      <c r="E9" s="29">
        <v>1</v>
      </c>
      <c r="F9" s="28">
        <f t="shared" si="0"/>
        <v>0</v>
      </c>
      <c r="G9" s="29">
        <f t="shared" si="1"/>
        <v>0</v>
      </c>
      <c r="H9" s="45">
        <f>'Ingrediente cena  '!B9</f>
        <v>2.85</v>
      </c>
      <c r="I9" s="30">
        <f t="shared" si="2"/>
        <v>0</v>
      </c>
      <c r="J9" s="30">
        <f t="shared" si="3"/>
        <v>17100</v>
      </c>
      <c r="K9" s="30">
        <f t="shared" si="4"/>
        <v>17100</v>
      </c>
      <c r="L9" s="31">
        <f>(K9/$B$14)*'Ingrediente cena  '!E6</f>
        <v>11400</v>
      </c>
      <c r="M9" s="29">
        <f t="shared" si="5"/>
        <v>0.62170633417146004</v>
      </c>
      <c r="N9" s="20"/>
    </row>
    <row r="10" spans="1:14" x14ac:dyDescent="0.2">
      <c r="A10" s="46"/>
      <c r="B10" s="47"/>
      <c r="C10" s="48"/>
      <c r="D10" s="49"/>
      <c r="E10" s="50"/>
      <c r="F10" s="49"/>
      <c r="G10" s="50"/>
      <c r="H10" s="51"/>
      <c r="I10" s="49"/>
      <c r="J10" s="49"/>
      <c r="K10" s="49"/>
      <c r="L10" s="52"/>
      <c r="M10" s="50"/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38</v>
      </c>
      <c r="B12" s="33"/>
      <c r="C12" s="34" t="s">
        <v>39</v>
      </c>
      <c r="D12" s="35">
        <f>SUM(D5:D7)</f>
        <v>1700</v>
      </c>
      <c r="E12" s="33"/>
      <c r="F12" s="33"/>
      <c r="G12" s="33"/>
      <c r="H12" s="30">
        <f>SUM(H5:H7)</f>
        <v>47.901052631578949</v>
      </c>
      <c r="I12" s="33"/>
      <c r="J12" s="33"/>
      <c r="K12" s="30">
        <f>SUM(K5:K7)</f>
        <v>26252.947368421053</v>
      </c>
      <c r="L12" s="30">
        <f t="shared" ref="L12:M12" si="6">L5+L6+L7+L8</f>
        <v>18336.63157894737</v>
      </c>
      <c r="M12" s="36">
        <f t="shared" si="6"/>
        <v>0.99999999999999978</v>
      </c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40</v>
      </c>
      <c r="B14" s="28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32" t="s">
        <v>41</v>
      </c>
      <c r="B15" s="30">
        <f>K12/B14</f>
        <v>1750.1964912280703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">
      <c r="A16" s="32" t="s">
        <v>42</v>
      </c>
      <c r="B16" s="26">
        <f>D12/B14</f>
        <v>113.33333333333333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J37"/>
  <sheetViews>
    <sheetView workbookViewId="0"/>
  </sheetViews>
  <sheetFormatPr baseColWidth="10" defaultColWidth="14.42578125" defaultRowHeight="15.75" customHeight="1" x14ac:dyDescent="0.2"/>
  <cols>
    <col min="1" max="1" width="45.42578125" customWidth="1"/>
    <col min="2" max="2" width="21.140625" customWidth="1"/>
    <col min="3" max="3" width="19.85546875" customWidth="1"/>
    <col min="4" max="4" width="19.28515625" customWidth="1"/>
    <col min="5" max="5" width="22.7109375" customWidth="1"/>
    <col min="6" max="6" width="19.85546875" customWidth="1"/>
    <col min="7" max="7" width="18.28515625" customWidth="1"/>
    <col min="8" max="8" width="23.5703125" customWidth="1"/>
    <col min="9" max="9" width="25.28515625" customWidth="1"/>
    <col min="10" max="10" width="26.28515625" customWidth="1"/>
  </cols>
  <sheetData>
    <row r="1" spans="1:9" ht="15.75" customHeight="1" x14ac:dyDescent="0.35">
      <c r="A1" s="37" t="s">
        <v>53</v>
      </c>
      <c r="B1" s="38"/>
    </row>
    <row r="2" spans="1:9" x14ac:dyDescent="0.2">
      <c r="A2" s="39" t="s">
        <v>54</v>
      </c>
      <c r="B2" s="39" t="s">
        <v>55</v>
      </c>
      <c r="C2" s="56"/>
    </row>
    <row r="3" spans="1:9" x14ac:dyDescent="0.2">
      <c r="A3" s="26" t="s">
        <v>109</v>
      </c>
      <c r="B3" s="31">
        <f>Entrada!B40</f>
        <v>2039.1125</v>
      </c>
      <c r="H3" s="57"/>
      <c r="I3" s="57"/>
    </row>
    <row r="4" spans="1:9" x14ac:dyDescent="0.2">
      <c r="A4" s="26" t="s">
        <v>110</v>
      </c>
      <c r="B4" s="31">
        <f>'Plato fuerte '!B23</f>
        <v>2414.5499999999997</v>
      </c>
      <c r="D4" s="44" t="s">
        <v>111</v>
      </c>
      <c r="E4" s="58">
        <v>482.27</v>
      </c>
      <c r="H4" s="57"/>
      <c r="I4" s="57"/>
    </row>
    <row r="5" spans="1:9" x14ac:dyDescent="0.2">
      <c r="A5" s="26" t="s">
        <v>112</v>
      </c>
      <c r="B5" s="31">
        <f>'Plato Estandarizado '!B9</f>
        <v>932.51500992063484</v>
      </c>
      <c r="E5" s="12"/>
      <c r="F5" s="59"/>
      <c r="H5" s="60"/>
      <c r="I5" s="59"/>
    </row>
    <row r="6" spans="1:9" x14ac:dyDescent="0.2">
      <c r="A6" s="26" t="s">
        <v>113</v>
      </c>
      <c r="B6" s="31">
        <f>'Limonada gasificada'!B15</f>
        <v>892.66666666666663</v>
      </c>
    </row>
    <row r="7" spans="1:9" x14ac:dyDescent="0.2">
      <c r="A7" s="26" t="s">
        <v>104</v>
      </c>
      <c r="B7" s="31">
        <f>Sangría!B13</f>
        <v>2648.4</v>
      </c>
      <c r="E7" s="18"/>
    </row>
    <row r="8" spans="1:9" x14ac:dyDescent="0.2">
      <c r="A8" s="26" t="s">
        <v>114</v>
      </c>
      <c r="B8" s="31">
        <f>'Latte con chocolate'!B15</f>
        <v>1750.1964912280703</v>
      </c>
      <c r="F8" s="57"/>
    </row>
    <row r="9" spans="1:9" ht="15.75" customHeight="1" x14ac:dyDescent="0.3">
      <c r="A9" s="40" t="s">
        <v>59</v>
      </c>
      <c r="B9" s="41">
        <f>B3+B4+B5+B6+B7+B8</f>
        <v>10677.440667815372</v>
      </c>
    </row>
    <row r="10" spans="1:9" ht="15.75" customHeight="1" x14ac:dyDescent="0.3">
      <c r="A10" s="61"/>
      <c r="B10" s="62"/>
    </row>
    <row r="11" spans="1:9" x14ac:dyDescent="0.2">
      <c r="D11" s="63"/>
    </row>
    <row r="13" spans="1:9" ht="15.75" customHeight="1" x14ac:dyDescent="0.25">
      <c r="A13" s="64"/>
      <c r="B13" s="65"/>
      <c r="C13" s="66"/>
    </row>
    <row r="14" spans="1:9" x14ac:dyDescent="0.2">
      <c r="A14" s="66"/>
    </row>
    <row r="16" spans="1:9" ht="15.75" customHeight="1" x14ac:dyDescent="0.35">
      <c r="A16" s="67" t="s">
        <v>115</v>
      </c>
      <c r="B16" s="68"/>
      <c r="C16" s="69"/>
      <c r="D16" s="67"/>
      <c r="E16" s="69"/>
      <c r="G16" s="70" t="s">
        <v>116</v>
      </c>
      <c r="H16" s="71"/>
      <c r="I16" s="71"/>
    </row>
    <row r="17" spans="1:10" x14ac:dyDescent="0.2">
      <c r="A17" s="72" t="s">
        <v>117</v>
      </c>
      <c r="B17" s="73" t="s">
        <v>118</v>
      </c>
      <c r="C17" s="74" t="s">
        <v>119</v>
      </c>
      <c r="D17" s="75" t="s">
        <v>120</v>
      </c>
      <c r="E17" s="76" t="s">
        <v>121</v>
      </c>
      <c r="G17" s="77" t="s">
        <v>122</v>
      </c>
      <c r="H17" s="78" t="s">
        <v>123</v>
      </c>
      <c r="I17" s="77" t="s">
        <v>124</v>
      </c>
    </row>
    <row r="18" spans="1:10" x14ac:dyDescent="0.2">
      <c r="A18" s="44" t="s">
        <v>125</v>
      </c>
      <c r="B18" s="54">
        <f>C18/16</f>
        <v>5156.25</v>
      </c>
      <c r="C18" s="79">
        <v>82500</v>
      </c>
      <c r="D18" s="44">
        <v>1</v>
      </c>
      <c r="E18" s="54">
        <f t="shared" ref="E18:E23" si="0">D18*B18</f>
        <v>5156.25</v>
      </c>
      <c r="G18" s="80" t="s">
        <v>6</v>
      </c>
      <c r="H18" s="81">
        <v>1218</v>
      </c>
      <c r="I18" s="81">
        <f t="shared" ref="I18:I19" si="1">H18*2</f>
        <v>2436</v>
      </c>
    </row>
    <row r="19" spans="1:10" x14ac:dyDescent="0.2">
      <c r="A19" s="44" t="s">
        <v>126</v>
      </c>
      <c r="B19" s="54">
        <f>C19/200</f>
        <v>39.5</v>
      </c>
      <c r="C19" s="79">
        <v>7900</v>
      </c>
      <c r="D19" s="44">
        <v>8</v>
      </c>
      <c r="E19" s="54">
        <f t="shared" si="0"/>
        <v>316</v>
      </c>
      <c r="G19" s="80" t="s">
        <v>127</v>
      </c>
      <c r="H19" s="81">
        <v>1109.5999999999999</v>
      </c>
      <c r="I19" s="81">
        <f t="shared" si="1"/>
        <v>2219.1999999999998</v>
      </c>
    </row>
    <row r="20" spans="1:10" x14ac:dyDescent="0.2">
      <c r="A20" s="44" t="s">
        <v>128</v>
      </c>
      <c r="B20" s="54">
        <f t="shared" ref="B20:B21" si="2">C20/50</f>
        <v>134.44</v>
      </c>
      <c r="C20" s="79">
        <v>6722</v>
      </c>
      <c r="D20" s="44">
        <v>3</v>
      </c>
      <c r="E20" s="54">
        <f t="shared" si="0"/>
        <v>403.32</v>
      </c>
      <c r="G20" s="80" t="s">
        <v>129</v>
      </c>
      <c r="H20" s="82">
        <v>2815</v>
      </c>
      <c r="I20" s="81">
        <f>H20*5</f>
        <v>14075</v>
      </c>
    </row>
    <row r="21" spans="1:10" ht="15.75" customHeight="1" x14ac:dyDescent="0.3">
      <c r="A21" s="44" t="s">
        <v>130</v>
      </c>
      <c r="B21" s="54">
        <f t="shared" si="2"/>
        <v>369.74</v>
      </c>
      <c r="C21" s="79">
        <v>18487</v>
      </c>
      <c r="D21" s="44">
        <v>2</v>
      </c>
      <c r="E21" s="54">
        <f t="shared" si="0"/>
        <v>739.48</v>
      </c>
      <c r="G21" s="83" t="s">
        <v>38</v>
      </c>
      <c r="H21" s="80"/>
      <c r="I21" s="84">
        <f>SUM(I18:I20)</f>
        <v>18730.2</v>
      </c>
    </row>
    <row r="22" spans="1:10" x14ac:dyDescent="0.2">
      <c r="A22" s="44" t="s">
        <v>131</v>
      </c>
      <c r="B22" s="54">
        <f>C22/45</f>
        <v>1006</v>
      </c>
      <c r="C22" s="79">
        <v>45270</v>
      </c>
      <c r="D22" s="44">
        <v>3</v>
      </c>
      <c r="E22" s="54">
        <f t="shared" si="0"/>
        <v>3018</v>
      </c>
    </row>
    <row r="23" spans="1:10" x14ac:dyDescent="0.2">
      <c r="A23" s="44" t="s">
        <v>132</v>
      </c>
      <c r="B23" s="79">
        <v>58.82</v>
      </c>
      <c r="C23" s="79">
        <v>5882</v>
      </c>
      <c r="D23" s="44">
        <v>5</v>
      </c>
      <c r="E23" s="54">
        <f t="shared" si="0"/>
        <v>294.10000000000002</v>
      </c>
    </row>
    <row r="24" spans="1:10" x14ac:dyDescent="0.2">
      <c r="A24" s="44" t="s">
        <v>133</v>
      </c>
      <c r="B24" s="79">
        <v>73</v>
      </c>
      <c r="C24" s="44">
        <v>2190</v>
      </c>
      <c r="D24" s="44">
        <v>1</v>
      </c>
      <c r="E24" s="58">
        <f t="shared" ref="E24:E28" si="3">B24*D24</f>
        <v>73</v>
      </c>
      <c r="G24" s="85"/>
    </row>
    <row r="25" spans="1:10" x14ac:dyDescent="0.2">
      <c r="A25" s="44" t="s">
        <v>134</v>
      </c>
      <c r="B25" s="54">
        <f t="shared" ref="B25:B26" si="4">C25/16</f>
        <v>1034.375</v>
      </c>
      <c r="C25" s="44">
        <v>16550</v>
      </c>
      <c r="D25" s="44">
        <v>1</v>
      </c>
      <c r="E25" s="58">
        <f t="shared" si="3"/>
        <v>1034.375</v>
      </c>
      <c r="G25" s="85"/>
    </row>
    <row r="26" spans="1:10" x14ac:dyDescent="0.2">
      <c r="A26" s="44" t="s">
        <v>135</v>
      </c>
      <c r="B26" s="54">
        <f t="shared" si="4"/>
        <v>1034.375</v>
      </c>
      <c r="C26" s="44">
        <v>16550</v>
      </c>
      <c r="D26" s="44">
        <v>1</v>
      </c>
      <c r="E26" s="58">
        <f t="shared" si="3"/>
        <v>1034.375</v>
      </c>
      <c r="G26" s="85"/>
    </row>
    <row r="27" spans="1:10" x14ac:dyDescent="0.2">
      <c r="A27" s="44" t="s">
        <v>136</v>
      </c>
      <c r="B27" s="54">
        <f>11200/100</f>
        <v>112</v>
      </c>
      <c r="C27" s="44">
        <v>11200</v>
      </c>
      <c r="D27" s="44">
        <v>2</v>
      </c>
      <c r="E27" s="86">
        <f t="shared" si="3"/>
        <v>224</v>
      </c>
      <c r="G27" s="85"/>
    </row>
    <row r="28" spans="1:10" x14ac:dyDescent="0.2">
      <c r="A28" s="44" t="s">
        <v>137</v>
      </c>
      <c r="B28" s="54">
        <f>C28/40</f>
        <v>49.75</v>
      </c>
      <c r="C28" s="44">
        <v>1990</v>
      </c>
      <c r="D28" s="44">
        <v>1</v>
      </c>
      <c r="E28" s="86">
        <f t="shared" si="3"/>
        <v>49.75</v>
      </c>
      <c r="G28" s="18"/>
      <c r="H28" s="12"/>
      <c r="I28" s="12"/>
      <c r="J28" s="12"/>
    </row>
    <row r="29" spans="1:10" ht="15.75" customHeight="1" x14ac:dyDescent="0.3">
      <c r="A29" s="87" t="s">
        <v>138</v>
      </c>
      <c r="B29" s="85"/>
      <c r="C29" s="88">
        <f>SUM(C17:C28)</f>
        <v>215241</v>
      </c>
      <c r="D29" s="89">
        <f t="shared" ref="D29:E29" si="5">SUM(D18:D28)</f>
        <v>28</v>
      </c>
      <c r="E29" s="90">
        <f t="shared" si="5"/>
        <v>12342.65</v>
      </c>
      <c r="G29" s="85"/>
    </row>
    <row r="32" spans="1:10" x14ac:dyDescent="0.2">
      <c r="F32" s="12"/>
      <c r="G32" s="12"/>
      <c r="H32" s="12"/>
    </row>
    <row r="34" spans="6:7" x14ac:dyDescent="0.2">
      <c r="F34" s="12"/>
      <c r="G34" s="12"/>
    </row>
    <row r="35" spans="6:7" x14ac:dyDescent="0.2">
      <c r="G35" s="12"/>
    </row>
    <row r="36" spans="6:7" ht="12.75" x14ac:dyDescent="0.2">
      <c r="G36" s="12"/>
    </row>
    <row r="37" spans="6:7" ht="12.75" x14ac:dyDescent="0.2">
      <c r="G3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M10"/>
  <sheetViews>
    <sheetView workbookViewId="0"/>
  </sheetViews>
  <sheetFormatPr baseColWidth="10" defaultColWidth="14.42578125" defaultRowHeight="15.75" customHeight="1" x14ac:dyDescent="0.2"/>
  <cols>
    <col min="5" max="5" width="20.28515625" customWidth="1"/>
    <col min="6" max="6" width="17.42578125" customWidth="1"/>
    <col min="7" max="7" width="17" customWidth="1"/>
    <col min="8" max="8" width="24.7109375" customWidth="1"/>
    <col min="12" max="12" width="19.5703125" customWidth="1"/>
    <col min="13" max="13" width="24.85546875" customWidth="1"/>
  </cols>
  <sheetData>
    <row r="1" spans="1:13" x14ac:dyDescent="0.2">
      <c r="I1" s="12"/>
      <c r="J1" s="12"/>
      <c r="K1" s="12" t="s">
        <v>139</v>
      </c>
    </row>
    <row r="2" spans="1:13" x14ac:dyDescent="0.2">
      <c r="A2" s="12" t="s">
        <v>111</v>
      </c>
      <c r="B2" s="12" t="s">
        <v>140</v>
      </c>
      <c r="C2" s="12" t="s">
        <v>141</v>
      </c>
      <c r="D2" s="12" t="s">
        <v>142</v>
      </c>
      <c r="E2" s="12" t="s">
        <v>143</v>
      </c>
      <c r="F2" s="12" t="s">
        <v>144</v>
      </c>
      <c r="G2" s="12" t="s">
        <v>145</v>
      </c>
      <c r="H2" s="12" t="s">
        <v>146</v>
      </c>
      <c r="I2" s="12" t="s">
        <v>147</v>
      </c>
      <c r="J2" s="12" t="s">
        <v>148</v>
      </c>
      <c r="K2" s="12" t="s">
        <v>149</v>
      </c>
      <c r="L2" s="12" t="s">
        <v>150</v>
      </c>
      <c r="M2" s="12" t="s">
        <v>151</v>
      </c>
    </row>
    <row r="3" spans="1:13" x14ac:dyDescent="0.2">
      <c r="A3" s="85">
        <f>'Costo total cena '!E4</f>
        <v>482.27</v>
      </c>
      <c r="B3" s="85">
        <f>'Costo total cena '!I21</f>
        <v>18730.2</v>
      </c>
      <c r="C3" s="91">
        <v>267700</v>
      </c>
      <c r="D3" s="91">
        <v>199100</v>
      </c>
      <c r="E3" s="91">
        <f>D3+C3+B3+A3</f>
        <v>486012.47000000003</v>
      </c>
      <c r="F3" s="91">
        <v>50000</v>
      </c>
      <c r="G3" s="92">
        <v>16</v>
      </c>
      <c r="H3" s="93">
        <f>G3*F3</f>
        <v>800000</v>
      </c>
      <c r="I3" s="91">
        <v>8000</v>
      </c>
      <c r="J3" s="93">
        <f>I3*16</f>
        <v>128000</v>
      </c>
      <c r="K3" s="93">
        <f>H3-E3</f>
        <v>313987.52999999997</v>
      </c>
      <c r="L3" s="93">
        <f>K3/2</f>
        <v>156993.76499999998</v>
      </c>
      <c r="M3" s="66">
        <f>(K3*100%)/H3</f>
        <v>0.39248441249999994</v>
      </c>
    </row>
    <row r="4" spans="1:13" x14ac:dyDescent="0.2">
      <c r="M4" s="66"/>
    </row>
    <row r="7" spans="1:13" x14ac:dyDescent="0.2">
      <c r="D7" s="12" t="s">
        <v>152</v>
      </c>
      <c r="E7" s="12" t="s">
        <v>153</v>
      </c>
      <c r="F7" s="12" t="s">
        <v>154</v>
      </c>
      <c r="M7" s="63"/>
    </row>
    <row r="8" spans="1:13" x14ac:dyDescent="0.2">
      <c r="D8" s="93">
        <f>E3</f>
        <v>486012.47000000003</v>
      </c>
      <c r="E8" s="93">
        <f>K3</f>
        <v>313987.52999999997</v>
      </c>
      <c r="F8" s="93">
        <f>H3</f>
        <v>800000</v>
      </c>
    </row>
    <row r="9" spans="1:13" x14ac:dyDescent="0.2">
      <c r="L9" s="66"/>
    </row>
    <row r="10" spans="1:13" x14ac:dyDescent="0.2">
      <c r="C10" s="88">
        <f>C4</f>
        <v>0</v>
      </c>
    </row>
  </sheetData>
  <conditionalFormatting sqref="A1:AD1000">
    <cfRule type="notContainsBlanks" dxfId="0" priority="1">
      <formula>LEN(TRIM(A1))&gt;0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5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21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</v>
      </c>
      <c r="B5" s="26" t="s">
        <v>35</v>
      </c>
      <c r="C5" s="27">
        <v>150</v>
      </c>
      <c r="D5" s="28">
        <f t="shared" ref="D5:D8" si="0">C5*E5</f>
        <v>150</v>
      </c>
      <c r="E5" s="29">
        <v>1</v>
      </c>
      <c r="F5" s="28">
        <f t="shared" ref="F5:F8" si="1">C5-D5</f>
        <v>0</v>
      </c>
      <c r="G5" s="29">
        <f t="shared" ref="G5:G8" si="2">F5/C5</f>
        <v>0</v>
      </c>
      <c r="H5" s="30">
        <f>'Ingredientes '!B5</f>
        <v>0.57999999999999996</v>
      </c>
      <c r="I5" s="30">
        <f t="shared" ref="I5:I8" si="3">F5*H5</f>
        <v>0</v>
      </c>
      <c r="J5" s="30">
        <f t="shared" ref="J5:J8" si="4">D5*H5</f>
        <v>87</v>
      </c>
      <c r="K5" s="30">
        <f t="shared" ref="K5:K8" si="5">C5*H5</f>
        <v>87</v>
      </c>
      <c r="L5" s="31">
        <f>(K5/$B$12)*'Ingredientes '!G6</f>
        <v>54.375</v>
      </c>
      <c r="M5" s="29">
        <f t="shared" ref="M5:M8" si="6">L5/$L$10</f>
        <v>4.6659051051437576E-2</v>
      </c>
      <c r="N5" s="20"/>
    </row>
    <row r="6" spans="1:14" x14ac:dyDescent="0.2">
      <c r="A6" s="25" t="s">
        <v>11</v>
      </c>
      <c r="B6" s="26" t="s">
        <v>35</v>
      </c>
      <c r="C6" s="27">
        <v>240</v>
      </c>
      <c r="D6" s="28">
        <f t="shared" si="0"/>
        <v>240</v>
      </c>
      <c r="E6" s="29">
        <v>1</v>
      </c>
      <c r="F6" s="28">
        <f t="shared" si="1"/>
        <v>0</v>
      </c>
      <c r="G6" s="29">
        <f t="shared" si="2"/>
        <v>0</v>
      </c>
      <c r="H6" s="30">
        <f>'Ingredientes '!B8</f>
        <v>1.51</v>
      </c>
      <c r="I6" s="30">
        <f t="shared" si="3"/>
        <v>0</v>
      </c>
      <c r="J6" s="30">
        <f t="shared" si="4"/>
        <v>362.4</v>
      </c>
      <c r="K6" s="30">
        <f t="shared" si="5"/>
        <v>362.4</v>
      </c>
      <c r="L6" s="31">
        <f>(K6/B12)*'Ingredientes '!G6</f>
        <v>226.5</v>
      </c>
      <c r="M6" s="29">
        <f t="shared" si="6"/>
        <v>0.19435908162116067</v>
      </c>
      <c r="N6" s="20"/>
    </row>
    <row r="7" spans="1:14" x14ac:dyDescent="0.2">
      <c r="A7" s="25" t="s">
        <v>36</v>
      </c>
      <c r="B7" s="26" t="s">
        <v>35</v>
      </c>
      <c r="C7" s="27">
        <v>120</v>
      </c>
      <c r="D7" s="28">
        <f t="shared" si="0"/>
        <v>120</v>
      </c>
      <c r="E7" s="29">
        <v>1</v>
      </c>
      <c r="F7" s="28">
        <f t="shared" si="1"/>
        <v>0</v>
      </c>
      <c r="G7" s="29">
        <f t="shared" si="2"/>
        <v>0</v>
      </c>
      <c r="H7" s="30">
        <f>'Ingredientes '!B12</f>
        <v>11.36</v>
      </c>
      <c r="I7" s="30">
        <f t="shared" si="3"/>
        <v>0</v>
      </c>
      <c r="J7" s="30">
        <f t="shared" si="4"/>
        <v>1363.1999999999998</v>
      </c>
      <c r="K7" s="30">
        <f t="shared" si="5"/>
        <v>1363.1999999999998</v>
      </c>
      <c r="L7" s="31">
        <f>(K7/B12)*'Ingredientes '!G6</f>
        <v>851.99999999999989</v>
      </c>
      <c r="M7" s="29">
        <f t="shared" si="6"/>
        <v>0.73109906199218044</v>
      </c>
      <c r="N7" s="20"/>
    </row>
    <row r="8" spans="1:14" x14ac:dyDescent="0.2">
      <c r="A8" s="25" t="s">
        <v>37</v>
      </c>
      <c r="B8" s="26" t="s">
        <v>35</v>
      </c>
      <c r="C8" s="27">
        <v>3</v>
      </c>
      <c r="D8" s="28">
        <f t="shared" si="0"/>
        <v>3</v>
      </c>
      <c r="E8" s="29">
        <v>1</v>
      </c>
      <c r="F8" s="28">
        <f t="shared" si="1"/>
        <v>0</v>
      </c>
      <c r="G8" s="29">
        <f t="shared" si="2"/>
        <v>0</v>
      </c>
      <c r="H8" s="30">
        <f>'Ingredientes '!B7</f>
        <v>17.329999999999998</v>
      </c>
      <c r="I8" s="30">
        <f t="shared" si="3"/>
        <v>0</v>
      </c>
      <c r="J8" s="30">
        <f t="shared" si="4"/>
        <v>51.989999999999995</v>
      </c>
      <c r="K8" s="30">
        <f t="shared" si="5"/>
        <v>51.989999999999995</v>
      </c>
      <c r="L8" s="31">
        <f>(K8/B12)*'Ingredientes '!G6</f>
        <v>32.493749999999999</v>
      </c>
      <c r="M8" s="29">
        <f t="shared" si="6"/>
        <v>2.7882805335221146E-2</v>
      </c>
      <c r="N8" s="20"/>
    </row>
    <row r="9" spans="1:1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32" t="s">
        <v>38</v>
      </c>
      <c r="B10" s="33"/>
      <c r="C10" s="34" t="s">
        <v>39</v>
      </c>
      <c r="D10" s="35">
        <f>SUM(D5:D8)</f>
        <v>513</v>
      </c>
      <c r="E10" s="33"/>
      <c r="F10" s="33"/>
      <c r="G10" s="33"/>
      <c r="H10" s="30">
        <f>SUM(H5:H8)</f>
        <v>30.779999999999998</v>
      </c>
      <c r="I10" s="33"/>
      <c r="J10" s="33"/>
      <c r="K10" s="30">
        <f>SUM(K5:K8)</f>
        <v>1864.59</v>
      </c>
      <c r="L10" s="30">
        <f t="shared" ref="L10:M10" si="7">L5+L6+L7+L8</f>
        <v>1165.3687500000001</v>
      </c>
      <c r="M10" s="36">
        <f t="shared" si="7"/>
        <v>0.99999999999999978</v>
      </c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40</v>
      </c>
      <c r="B12" s="28">
        <v>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41</v>
      </c>
      <c r="B13" s="30">
        <f>K10/B12</f>
        <v>116.53687499999999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42</v>
      </c>
      <c r="B14" s="26">
        <f>D10/B12</f>
        <v>32.0625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8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43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</v>
      </c>
      <c r="B5" s="26" t="s">
        <v>35</v>
      </c>
      <c r="C5" s="27">
        <v>75</v>
      </c>
      <c r="D5" s="28">
        <f t="shared" ref="D5:D11" si="0">C5*E5</f>
        <v>75</v>
      </c>
      <c r="E5" s="29">
        <v>1</v>
      </c>
      <c r="F5" s="28">
        <f t="shared" ref="F5:F11" si="1">C5-D5</f>
        <v>0</v>
      </c>
      <c r="G5" s="29">
        <f t="shared" ref="G5:G11" si="2">F5/C5</f>
        <v>0</v>
      </c>
      <c r="H5" s="30">
        <f>'Ingredientes '!B5</f>
        <v>0.57999999999999996</v>
      </c>
      <c r="I5" s="30">
        <f t="shared" ref="I5:I11" si="3">F5*H5</f>
        <v>0</v>
      </c>
      <c r="J5" s="30">
        <f t="shared" ref="J5:J11" si="4">D5*H5</f>
        <v>43.5</v>
      </c>
      <c r="K5" s="30">
        <f t="shared" ref="K5:K11" si="5">C5*H5</f>
        <v>43.5</v>
      </c>
      <c r="L5" s="31">
        <f>(K5/$B$15)*'Ingredientes '!G6</f>
        <v>29</v>
      </c>
      <c r="M5" s="29">
        <f t="shared" ref="M5:M11" si="6">L5/$L$13</f>
        <v>2.2292830420745143E-2</v>
      </c>
      <c r="N5" s="20"/>
    </row>
    <row r="6" spans="1:14" x14ac:dyDescent="0.2">
      <c r="A6" s="25" t="s">
        <v>11</v>
      </c>
      <c r="B6" s="26" t="s">
        <v>35</v>
      </c>
      <c r="C6" s="27">
        <v>120</v>
      </c>
      <c r="D6" s="28">
        <f t="shared" si="0"/>
        <v>120</v>
      </c>
      <c r="E6" s="29">
        <v>1</v>
      </c>
      <c r="F6" s="28">
        <f t="shared" si="1"/>
        <v>0</v>
      </c>
      <c r="G6" s="29">
        <f t="shared" si="2"/>
        <v>0</v>
      </c>
      <c r="H6" s="30">
        <f>'Ingredientes '!B8</f>
        <v>1.51</v>
      </c>
      <c r="I6" s="30">
        <f t="shared" si="3"/>
        <v>0</v>
      </c>
      <c r="J6" s="30">
        <f t="shared" si="4"/>
        <v>181.2</v>
      </c>
      <c r="K6" s="30">
        <f t="shared" si="5"/>
        <v>181.2</v>
      </c>
      <c r="L6" s="31">
        <f>(K6/B15)*'Ingredientes '!G6</f>
        <v>120.8</v>
      </c>
      <c r="M6" s="29">
        <f t="shared" si="6"/>
        <v>9.286116947675907E-2</v>
      </c>
      <c r="N6" s="20"/>
    </row>
    <row r="7" spans="1:14" x14ac:dyDescent="0.2">
      <c r="A7" s="25" t="s">
        <v>36</v>
      </c>
      <c r="B7" s="26" t="s">
        <v>35</v>
      </c>
      <c r="C7" s="27">
        <v>60</v>
      </c>
      <c r="D7" s="28">
        <f t="shared" si="0"/>
        <v>60</v>
      </c>
      <c r="E7" s="29">
        <v>1</v>
      </c>
      <c r="F7" s="28">
        <f t="shared" si="1"/>
        <v>0</v>
      </c>
      <c r="G7" s="29">
        <f t="shared" si="2"/>
        <v>0</v>
      </c>
      <c r="H7" s="30">
        <f>'Ingredientes '!B12</f>
        <v>11.36</v>
      </c>
      <c r="I7" s="30">
        <f t="shared" si="3"/>
        <v>0</v>
      </c>
      <c r="J7" s="30">
        <f t="shared" si="4"/>
        <v>681.59999999999991</v>
      </c>
      <c r="K7" s="30">
        <f t="shared" si="5"/>
        <v>681.59999999999991</v>
      </c>
      <c r="L7" s="31">
        <f>(K7/B15)*'Ingredientes '!G6</f>
        <v>454.39999999999992</v>
      </c>
      <c r="M7" s="29">
        <f t="shared" si="6"/>
        <v>0.34930559114436521</v>
      </c>
      <c r="N7" s="20"/>
    </row>
    <row r="8" spans="1:14" x14ac:dyDescent="0.2">
      <c r="A8" s="25" t="s">
        <v>44</v>
      </c>
      <c r="B8" s="26" t="s">
        <v>35</v>
      </c>
      <c r="C8" s="27">
        <v>50</v>
      </c>
      <c r="D8" s="28">
        <f t="shared" si="0"/>
        <v>50</v>
      </c>
      <c r="E8" s="29">
        <v>1</v>
      </c>
      <c r="F8" s="28">
        <f t="shared" si="1"/>
        <v>0</v>
      </c>
      <c r="G8" s="29">
        <f t="shared" si="2"/>
        <v>0</v>
      </c>
      <c r="H8" s="30">
        <f>'Ingredientes '!B9</f>
        <v>20.9</v>
      </c>
      <c r="I8" s="30">
        <f t="shared" si="3"/>
        <v>0</v>
      </c>
      <c r="J8" s="30">
        <f t="shared" si="4"/>
        <v>1045</v>
      </c>
      <c r="K8" s="30">
        <f t="shared" si="5"/>
        <v>1045</v>
      </c>
      <c r="L8" s="31">
        <f>(K8/B15)*'Ingredientes '!G6</f>
        <v>696.66666666666674</v>
      </c>
      <c r="M8" s="29">
        <f t="shared" si="6"/>
        <v>0.53554040895813049</v>
      </c>
      <c r="N8" s="20"/>
    </row>
    <row r="9" spans="1:14" x14ac:dyDescent="0.2">
      <c r="A9" s="25" t="s">
        <v>17</v>
      </c>
      <c r="B9" s="26" t="s">
        <v>35</v>
      </c>
      <c r="C9" s="27">
        <v>12</v>
      </c>
      <c r="D9" s="28">
        <f t="shared" si="0"/>
        <v>12</v>
      </c>
      <c r="E9" s="29">
        <v>1</v>
      </c>
      <c r="F9" s="28">
        <f t="shared" si="1"/>
        <v>0</v>
      </c>
      <c r="G9" s="29">
        <f t="shared" si="2"/>
        <v>0</v>
      </c>
      <c r="H9" s="30">
        <f>'Ingredientes '!B14</f>
        <v>40.799999999999997</v>
      </c>
      <c r="I9" s="30">
        <f t="shared" si="3"/>
        <v>0</v>
      </c>
      <c r="J9" s="30">
        <f t="shared" si="4"/>
        <v>489.59999999999997</v>
      </c>
      <c r="K9" s="30">
        <f t="shared" si="5"/>
        <v>489.59999999999997</v>
      </c>
      <c r="L9" s="31">
        <f>(K9/B15)*'Ingredientes '!G6</f>
        <v>326.39999999999998</v>
      </c>
      <c r="M9" s="29">
        <f t="shared" si="6"/>
        <v>0.25090964997693843</v>
      </c>
      <c r="N9" s="20"/>
    </row>
    <row r="10" spans="1:14" x14ac:dyDescent="0.2">
      <c r="A10" s="25" t="s">
        <v>45</v>
      </c>
      <c r="B10" s="26" t="s">
        <v>35</v>
      </c>
      <c r="C10" s="27">
        <v>67</v>
      </c>
      <c r="D10" s="28">
        <f t="shared" si="0"/>
        <v>67</v>
      </c>
      <c r="E10" s="29">
        <v>1</v>
      </c>
      <c r="F10" s="28">
        <f t="shared" si="1"/>
        <v>0</v>
      </c>
      <c r="G10" s="29">
        <f t="shared" si="2"/>
        <v>0</v>
      </c>
      <c r="H10" s="30">
        <f>'Ingredientes '!B10</f>
        <v>12.5</v>
      </c>
      <c r="I10" s="30">
        <f t="shared" si="3"/>
        <v>0</v>
      </c>
      <c r="J10" s="30">
        <f t="shared" si="4"/>
        <v>837.5</v>
      </c>
      <c r="K10" s="30">
        <f t="shared" si="5"/>
        <v>837.5</v>
      </c>
      <c r="L10" s="31">
        <f>(K10/B15)*'Ingredientes '!G6</f>
        <v>558.33333333333337</v>
      </c>
      <c r="M10" s="29">
        <f t="shared" si="6"/>
        <v>0.42920104545687487</v>
      </c>
      <c r="N10" s="20"/>
    </row>
    <row r="11" spans="1:14" x14ac:dyDescent="0.2">
      <c r="A11" s="25" t="s">
        <v>18</v>
      </c>
      <c r="B11" s="26" t="s">
        <v>35</v>
      </c>
      <c r="C11" s="27">
        <v>1</v>
      </c>
      <c r="D11" s="28">
        <f t="shared" si="0"/>
        <v>1</v>
      </c>
      <c r="E11" s="29">
        <v>1</v>
      </c>
      <c r="F11" s="28">
        <f t="shared" si="1"/>
        <v>0</v>
      </c>
      <c r="G11" s="29">
        <f t="shared" si="2"/>
        <v>0</v>
      </c>
      <c r="H11" s="30">
        <f>'Ingredientes '!B15</f>
        <v>66.666666666666671</v>
      </c>
      <c r="I11" s="30">
        <f t="shared" si="3"/>
        <v>0</v>
      </c>
      <c r="J11" s="30">
        <f t="shared" si="4"/>
        <v>66.666666666666671</v>
      </c>
      <c r="K11" s="30">
        <f t="shared" si="5"/>
        <v>66.666666666666671</v>
      </c>
      <c r="L11" s="31">
        <f>(K11/B15)*'Ingredientes '!G6</f>
        <v>44.444444444444443</v>
      </c>
      <c r="M11" s="29">
        <f t="shared" si="6"/>
        <v>3.4165257349800984E-2</v>
      </c>
      <c r="N11" s="20"/>
    </row>
    <row r="12" spans="1:14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38</v>
      </c>
      <c r="B13" s="33"/>
      <c r="C13" s="34" t="s">
        <v>39</v>
      </c>
      <c r="D13" s="35">
        <f>SUM(D5:D8)</f>
        <v>305</v>
      </c>
      <c r="E13" s="33"/>
      <c r="F13" s="33"/>
      <c r="G13" s="33"/>
      <c r="H13" s="30">
        <f>SUM(H5:H8)</f>
        <v>34.349999999999994</v>
      </c>
      <c r="I13" s="33"/>
      <c r="J13" s="33"/>
      <c r="K13" s="30">
        <f>SUM(K5:K8)</f>
        <v>1951.3</v>
      </c>
      <c r="L13" s="30">
        <f t="shared" ref="L13:M13" si="7">L5+L6+L7+L8</f>
        <v>1300.8666666666668</v>
      </c>
      <c r="M13" s="36">
        <f t="shared" si="7"/>
        <v>0.99999999999999989</v>
      </c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32" t="s">
        <v>40</v>
      </c>
      <c r="B15" s="28">
        <v>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">
      <c r="A16" s="32" t="s">
        <v>41</v>
      </c>
      <c r="B16" s="30">
        <f>K13/B15</f>
        <v>130.08666666666667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32" t="s">
        <v>42</v>
      </c>
      <c r="B17" s="26">
        <f>D13/B15</f>
        <v>20.333333333333332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5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46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</v>
      </c>
      <c r="B5" s="26" t="s">
        <v>35</v>
      </c>
      <c r="C5" s="27">
        <v>75</v>
      </c>
      <c r="D5" s="28">
        <f t="shared" ref="D5:D8" si="0">C5*E5</f>
        <v>75</v>
      </c>
      <c r="E5" s="29">
        <v>1</v>
      </c>
      <c r="F5" s="28">
        <f t="shared" ref="F5:F8" si="1">C5-D5</f>
        <v>0</v>
      </c>
      <c r="G5" s="29">
        <f t="shared" ref="G5:G8" si="2">F5/C5</f>
        <v>0</v>
      </c>
      <c r="H5" s="30">
        <f>'Ingredientes '!B5</f>
        <v>0.57999999999999996</v>
      </c>
      <c r="I5" s="30">
        <f t="shared" ref="I5:I8" si="3">F5*H5</f>
        <v>0</v>
      </c>
      <c r="J5" s="30">
        <f t="shared" ref="J5:J8" si="4">D5*H5</f>
        <v>43.5</v>
      </c>
      <c r="K5" s="30">
        <f t="shared" ref="K5:K8" si="5">C5*H5</f>
        <v>43.5</v>
      </c>
      <c r="L5" s="31">
        <f>(K5/$B$12)*'Ingredientes '!G6</f>
        <v>48.333333333333329</v>
      </c>
      <c r="M5" s="29">
        <f t="shared" ref="M5:M8" si="6">L5/$L$10</f>
        <v>3.5693772052186754E-2</v>
      </c>
      <c r="N5" s="20"/>
    </row>
    <row r="6" spans="1:14" x14ac:dyDescent="0.2">
      <c r="A6" s="25" t="s">
        <v>11</v>
      </c>
      <c r="B6" s="26" t="s">
        <v>35</v>
      </c>
      <c r="C6" s="27">
        <v>120</v>
      </c>
      <c r="D6" s="28">
        <f t="shared" si="0"/>
        <v>120</v>
      </c>
      <c r="E6" s="29">
        <v>1</v>
      </c>
      <c r="F6" s="28">
        <f t="shared" si="1"/>
        <v>0</v>
      </c>
      <c r="G6" s="29">
        <f t="shared" si="2"/>
        <v>0</v>
      </c>
      <c r="H6" s="30">
        <f>'Ingredientes '!B8</f>
        <v>1.51</v>
      </c>
      <c r="I6" s="30">
        <f t="shared" si="3"/>
        <v>0</v>
      </c>
      <c r="J6" s="30">
        <f t="shared" si="4"/>
        <v>181.2</v>
      </c>
      <c r="K6" s="30">
        <f t="shared" si="5"/>
        <v>181.2</v>
      </c>
      <c r="L6" s="31">
        <f>(K6/B12)*'Ingredientes '!G6</f>
        <v>201.33333333333331</v>
      </c>
      <c r="M6" s="29">
        <f t="shared" si="6"/>
        <v>0.14868302289324689</v>
      </c>
      <c r="N6" s="20"/>
    </row>
    <row r="7" spans="1:14" x14ac:dyDescent="0.2">
      <c r="A7" s="25" t="s">
        <v>47</v>
      </c>
      <c r="B7" s="26" t="s">
        <v>35</v>
      </c>
      <c r="C7" s="27">
        <v>60</v>
      </c>
      <c r="D7" s="28">
        <f t="shared" si="0"/>
        <v>57</v>
      </c>
      <c r="E7" s="29">
        <v>0.95</v>
      </c>
      <c r="F7" s="28">
        <f t="shared" si="1"/>
        <v>3</v>
      </c>
      <c r="G7" s="29">
        <f t="shared" si="2"/>
        <v>0.05</v>
      </c>
      <c r="H7" s="30">
        <f>'Ingredientes '!B16</f>
        <v>3.4</v>
      </c>
      <c r="I7" s="30">
        <f t="shared" si="3"/>
        <v>10.199999999999999</v>
      </c>
      <c r="J7" s="30">
        <f t="shared" si="4"/>
        <v>193.79999999999998</v>
      </c>
      <c r="K7" s="30">
        <f t="shared" si="5"/>
        <v>204</v>
      </c>
      <c r="L7" s="31">
        <f>(K7/B12)*'Ingredientes '!G6</f>
        <v>226.66666666666669</v>
      </c>
      <c r="M7" s="29">
        <f t="shared" si="6"/>
        <v>0.16739148272749654</v>
      </c>
      <c r="N7" s="20"/>
    </row>
    <row r="8" spans="1:14" x14ac:dyDescent="0.2">
      <c r="A8" s="25" t="s">
        <v>48</v>
      </c>
      <c r="B8" s="26" t="s">
        <v>35</v>
      </c>
      <c r="C8" s="27">
        <v>50</v>
      </c>
      <c r="D8" s="28">
        <f t="shared" si="0"/>
        <v>46.5</v>
      </c>
      <c r="E8" s="29">
        <v>0.93</v>
      </c>
      <c r="F8" s="28">
        <f t="shared" si="1"/>
        <v>3.5</v>
      </c>
      <c r="G8" s="29">
        <f t="shared" si="2"/>
        <v>7.0000000000000007E-2</v>
      </c>
      <c r="H8" s="30">
        <f>'Ingredientes '!B11</f>
        <v>15.8</v>
      </c>
      <c r="I8" s="30">
        <f t="shared" si="3"/>
        <v>55.300000000000004</v>
      </c>
      <c r="J8" s="30">
        <f t="shared" si="4"/>
        <v>734.7</v>
      </c>
      <c r="K8" s="30">
        <f t="shared" si="5"/>
        <v>790</v>
      </c>
      <c r="L8" s="31">
        <f>(K8/B12)*'Ingredientes '!G6</f>
        <v>877.77777777777771</v>
      </c>
      <c r="M8" s="29">
        <f t="shared" si="6"/>
        <v>0.64823172232706983</v>
      </c>
      <c r="N8" s="20"/>
    </row>
    <row r="9" spans="1:1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32" t="s">
        <v>38</v>
      </c>
      <c r="B10" s="33"/>
      <c r="C10" s="34" t="s">
        <v>39</v>
      </c>
      <c r="D10" s="35">
        <f>SUM(D5:D8)</f>
        <v>298.5</v>
      </c>
      <c r="E10" s="33"/>
      <c r="F10" s="33"/>
      <c r="G10" s="33"/>
      <c r="H10" s="30">
        <f>SUM(H5:H8)</f>
        <v>21.29</v>
      </c>
      <c r="I10" s="33"/>
      <c r="J10" s="33"/>
      <c r="K10" s="30">
        <f>SUM(K5:K8)</f>
        <v>1218.7</v>
      </c>
      <c r="L10" s="30">
        <f t="shared" ref="L10:M10" si="7">L5+L6+L7+L8</f>
        <v>1354.1111111111111</v>
      </c>
      <c r="M10" s="36">
        <f t="shared" si="7"/>
        <v>1</v>
      </c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40</v>
      </c>
      <c r="B12" s="28">
        <v>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41</v>
      </c>
      <c r="B13" s="30">
        <f>K10/B12</f>
        <v>135.41111111111113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42</v>
      </c>
      <c r="B14" s="26">
        <f>D10/B12</f>
        <v>33.166666666666664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4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49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</v>
      </c>
      <c r="B5" s="26" t="s">
        <v>35</v>
      </c>
      <c r="C5" s="27">
        <v>100</v>
      </c>
      <c r="D5" s="28">
        <f t="shared" ref="D5:D7" si="0">C5*E5</f>
        <v>100</v>
      </c>
      <c r="E5" s="29">
        <v>1</v>
      </c>
      <c r="F5" s="28">
        <f t="shared" ref="F5:F7" si="1">C5-D5</f>
        <v>0</v>
      </c>
      <c r="G5" s="29">
        <f t="shared" ref="G5:G7" si="2">F5/C5</f>
        <v>0</v>
      </c>
      <c r="H5" s="30">
        <f>'Ingredientes '!B5</f>
        <v>0.57999999999999996</v>
      </c>
      <c r="I5" s="30">
        <f t="shared" ref="I5:I7" si="3">F5*H5</f>
        <v>0</v>
      </c>
      <c r="J5" s="30">
        <f t="shared" ref="J5:J7" si="4">D5*H5</f>
        <v>57.999999999999993</v>
      </c>
      <c r="K5" s="30">
        <f t="shared" ref="K5:K7" si="5">C5*H5</f>
        <v>57.999999999999993</v>
      </c>
      <c r="L5" s="31">
        <f>(K5/$B$11)*'Ingredientes '!G6</f>
        <v>72.499999999999986</v>
      </c>
      <c r="M5" s="29">
        <f t="shared" ref="M5:M7" si="6">L5/$L$9</f>
        <v>9.138175515991806E-2</v>
      </c>
      <c r="N5" s="20"/>
    </row>
    <row r="6" spans="1:14" x14ac:dyDescent="0.2">
      <c r="A6" s="25" t="s">
        <v>11</v>
      </c>
      <c r="B6" s="26" t="s">
        <v>35</v>
      </c>
      <c r="C6" s="27">
        <v>100</v>
      </c>
      <c r="D6" s="28">
        <f t="shared" si="0"/>
        <v>100</v>
      </c>
      <c r="E6" s="29">
        <v>1</v>
      </c>
      <c r="F6" s="28">
        <f t="shared" si="1"/>
        <v>0</v>
      </c>
      <c r="G6" s="29">
        <f t="shared" si="2"/>
        <v>0</v>
      </c>
      <c r="H6" s="30">
        <f>'Ingredientes '!B8</f>
        <v>1.51</v>
      </c>
      <c r="I6" s="30">
        <f t="shared" si="3"/>
        <v>0</v>
      </c>
      <c r="J6" s="30">
        <f t="shared" si="4"/>
        <v>151</v>
      </c>
      <c r="K6" s="30">
        <f t="shared" si="5"/>
        <v>151</v>
      </c>
      <c r="L6" s="31">
        <f>(K6/B11)*'Ingredientes '!G6</f>
        <v>188.75</v>
      </c>
      <c r="M6" s="29">
        <f t="shared" si="6"/>
        <v>0.23790767291633844</v>
      </c>
      <c r="N6" s="20"/>
    </row>
    <row r="7" spans="1:14" x14ac:dyDescent="0.2">
      <c r="A7" s="25" t="s">
        <v>50</v>
      </c>
      <c r="B7" s="26" t="s">
        <v>35</v>
      </c>
      <c r="C7" s="27">
        <v>33</v>
      </c>
      <c r="D7" s="28">
        <f t="shared" si="0"/>
        <v>32.01</v>
      </c>
      <c r="E7" s="29">
        <v>0.97</v>
      </c>
      <c r="F7" s="28">
        <f t="shared" si="1"/>
        <v>0.99000000000000199</v>
      </c>
      <c r="G7" s="29">
        <f t="shared" si="2"/>
        <v>3.0000000000000061E-2</v>
      </c>
      <c r="H7" s="30">
        <f>'Ingredientes '!B13</f>
        <v>12.9</v>
      </c>
      <c r="I7" s="30">
        <f t="shared" si="3"/>
        <v>12.771000000000026</v>
      </c>
      <c r="J7" s="30">
        <f t="shared" si="4"/>
        <v>412.92899999999997</v>
      </c>
      <c r="K7" s="30">
        <f t="shared" si="5"/>
        <v>425.7</v>
      </c>
      <c r="L7" s="31">
        <f>(K7/B11)*'Ingredientes '!G6</f>
        <v>532.125</v>
      </c>
      <c r="M7" s="29">
        <f t="shared" si="6"/>
        <v>0.6707105719237435</v>
      </c>
      <c r="N7" s="20"/>
    </row>
    <row r="8" spans="1:14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32" t="s">
        <v>38</v>
      </c>
      <c r="B9" s="33"/>
      <c r="C9" s="34" t="s">
        <v>39</v>
      </c>
      <c r="D9" s="35">
        <f>SUM(D5:D7)</f>
        <v>232.01</v>
      </c>
      <c r="E9" s="33"/>
      <c r="F9" s="33"/>
      <c r="G9" s="33"/>
      <c r="H9" s="30">
        <f>SUM(H5:H7)</f>
        <v>14.99</v>
      </c>
      <c r="I9" s="33"/>
      <c r="J9" s="33"/>
      <c r="K9" s="30">
        <f>SUM(K5:K7)</f>
        <v>634.70000000000005</v>
      </c>
      <c r="L9" s="30">
        <f t="shared" ref="L9:M9" si="7">L5+L6+L7</f>
        <v>793.375</v>
      </c>
      <c r="M9" s="36">
        <f t="shared" si="7"/>
        <v>1</v>
      </c>
      <c r="N9" s="20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">
      <c r="A11" s="32" t="s">
        <v>40</v>
      </c>
      <c r="B11" s="28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41</v>
      </c>
      <c r="B12" s="30">
        <f>K9/B11</f>
        <v>79.337500000000006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42</v>
      </c>
      <c r="B13" s="26">
        <f>D9/B11</f>
        <v>29.001249999999999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5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51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</v>
      </c>
      <c r="B5" s="26" t="s">
        <v>35</v>
      </c>
      <c r="C5" s="27">
        <v>100</v>
      </c>
      <c r="D5" s="28">
        <f t="shared" ref="D5:D8" si="0">C5*E5</f>
        <v>100</v>
      </c>
      <c r="E5" s="29">
        <v>1</v>
      </c>
      <c r="F5" s="28">
        <f t="shared" ref="F5:F8" si="1">C5-D5</f>
        <v>0</v>
      </c>
      <c r="G5" s="29">
        <f t="shared" ref="G5:G8" si="2">F5/C5</f>
        <v>0</v>
      </c>
      <c r="H5" s="30">
        <f>'Ingredientes '!B5</f>
        <v>0.57999999999999996</v>
      </c>
      <c r="I5" s="30">
        <f t="shared" ref="I5:I8" si="3">F5*H5</f>
        <v>0</v>
      </c>
      <c r="J5" s="30">
        <f t="shared" ref="J5:J8" si="4">D5*H5</f>
        <v>57.999999999999993</v>
      </c>
      <c r="K5" s="30">
        <f t="shared" ref="K5:K8" si="5">C5*H5</f>
        <v>57.999999999999993</v>
      </c>
      <c r="L5" s="31">
        <f>(K5/$B$12)*'Ingredientes '!G6</f>
        <v>82.857142857142847</v>
      </c>
      <c r="M5" s="29">
        <f t="shared" ref="M5:M8" si="6">L5/$L$10</f>
        <v>1.3313898102769518E-2</v>
      </c>
      <c r="N5" s="20"/>
    </row>
    <row r="6" spans="1:14" x14ac:dyDescent="0.2">
      <c r="A6" s="25" t="s">
        <v>11</v>
      </c>
      <c r="B6" s="26" t="s">
        <v>35</v>
      </c>
      <c r="C6" s="27">
        <v>100</v>
      </c>
      <c r="D6" s="28">
        <f t="shared" si="0"/>
        <v>100</v>
      </c>
      <c r="E6" s="29">
        <v>1</v>
      </c>
      <c r="F6" s="28">
        <f t="shared" si="1"/>
        <v>0</v>
      </c>
      <c r="G6" s="29">
        <f t="shared" si="2"/>
        <v>0</v>
      </c>
      <c r="H6" s="30">
        <f>'Ingredientes '!B8</f>
        <v>1.51</v>
      </c>
      <c r="I6" s="30">
        <f t="shared" si="3"/>
        <v>0</v>
      </c>
      <c r="J6" s="30">
        <f t="shared" si="4"/>
        <v>151</v>
      </c>
      <c r="K6" s="30">
        <f t="shared" si="5"/>
        <v>151</v>
      </c>
      <c r="L6" s="31">
        <f>(K6/B12)*'Ingredientes '!G6</f>
        <v>215.71428571428572</v>
      </c>
      <c r="M6" s="29">
        <f t="shared" si="6"/>
        <v>3.4662045060658578E-2</v>
      </c>
      <c r="N6" s="20"/>
    </row>
    <row r="7" spans="1:14" x14ac:dyDescent="0.2">
      <c r="A7" s="25" t="s">
        <v>47</v>
      </c>
      <c r="B7" s="26" t="s">
        <v>35</v>
      </c>
      <c r="C7" s="27">
        <v>150</v>
      </c>
      <c r="D7" s="28">
        <f t="shared" si="0"/>
        <v>142.5</v>
      </c>
      <c r="E7" s="29">
        <v>0.95</v>
      </c>
      <c r="F7" s="28">
        <f t="shared" si="1"/>
        <v>7.5</v>
      </c>
      <c r="G7" s="29">
        <f t="shared" si="2"/>
        <v>0.05</v>
      </c>
      <c r="H7" s="30">
        <f>'Ingredientes '!B16</f>
        <v>3.4</v>
      </c>
      <c r="I7" s="30">
        <f t="shared" si="3"/>
        <v>25.5</v>
      </c>
      <c r="J7" s="30">
        <f t="shared" si="4"/>
        <v>484.5</v>
      </c>
      <c r="K7" s="30">
        <f t="shared" si="5"/>
        <v>510</v>
      </c>
      <c r="L7" s="31">
        <f>(K7/B12)*'Ingredientes '!G6</f>
        <v>728.57142857142867</v>
      </c>
      <c r="M7" s="29">
        <f t="shared" si="6"/>
        <v>0.11707048331745613</v>
      </c>
      <c r="N7" s="20"/>
    </row>
    <row r="8" spans="1:14" x14ac:dyDescent="0.2">
      <c r="A8" s="25" t="s">
        <v>8</v>
      </c>
      <c r="B8" s="26" t="s">
        <v>35</v>
      </c>
      <c r="C8" s="27">
        <v>45</v>
      </c>
      <c r="D8" s="28">
        <f t="shared" si="0"/>
        <v>45</v>
      </c>
      <c r="E8" s="29">
        <v>1</v>
      </c>
      <c r="F8" s="28">
        <f t="shared" si="1"/>
        <v>0</v>
      </c>
      <c r="G8" s="29">
        <f t="shared" si="2"/>
        <v>0</v>
      </c>
      <c r="H8" s="30">
        <f>'Ingredientes '!B6</f>
        <v>80.83</v>
      </c>
      <c r="I8" s="30">
        <f t="shared" si="3"/>
        <v>0</v>
      </c>
      <c r="J8" s="30">
        <f t="shared" si="4"/>
        <v>3637.35</v>
      </c>
      <c r="K8" s="30">
        <f t="shared" si="5"/>
        <v>3637.35</v>
      </c>
      <c r="L8" s="31">
        <f>(K8/B12)*'Ingredientes '!G6</f>
        <v>5196.2142857142853</v>
      </c>
      <c r="M8" s="29">
        <f t="shared" si="6"/>
        <v>0.8349535735191157</v>
      </c>
      <c r="N8" s="20"/>
    </row>
    <row r="9" spans="1:1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32" t="s">
        <v>38</v>
      </c>
      <c r="B10" s="33"/>
      <c r="C10" s="34" t="s">
        <v>39</v>
      </c>
      <c r="D10" s="35">
        <f>SUM(D5:D7)</f>
        <v>342.5</v>
      </c>
      <c r="E10" s="33"/>
      <c r="F10" s="33"/>
      <c r="G10" s="33"/>
      <c r="H10" s="30">
        <f>SUM(H5:H7)</f>
        <v>5.49</v>
      </c>
      <c r="I10" s="33"/>
      <c r="J10" s="33"/>
      <c r="K10" s="30">
        <f>SUM(K5:K7)</f>
        <v>719</v>
      </c>
      <c r="L10" s="30">
        <f t="shared" ref="L10:M10" si="7">L5+L6+L7+L8</f>
        <v>6223.3571428571431</v>
      </c>
      <c r="M10" s="36">
        <f t="shared" si="7"/>
        <v>1</v>
      </c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40</v>
      </c>
      <c r="B12" s="28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41</v>
      </c>
      <c r="B13" s="30">
        <f>K10/B12</f>
        <v>102.71428571428571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42</v>
      </c>
      <c r="B14" s="26">
        <f>D10/B12</f>
        <v>48.928571428571431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15"/>
  <sheetViews>
    <sheetView workbookViewId="0"/>
  </sheetViews>
  <sheetFormatPr baseColWidth="10" defaultColWidth="14.42578125" defaultRowHeight="15.75" customHeight="1" x14ac:dyDescent="0.2"/>
  <cols>
    <col min="1" max="1" width="21.28515625" customWidth="1"/>
    <col min="2" max="2" width="27.42578125" customWidth="1"/>
    <col min="3" max="3" width="24.140625" customWidth="1"/>
    <col min="6" max="6" width="16.7109375" customWidth="1"/>
    <col min="8" max="8" width="21.140625" customWidth="1"/>
  </cols>
  <sheetData>
    <row r="1" spans="1:14" ht="15.75" customHeight="1" x14ac:dyDescent="0.25">
      <c r="A1" s="19" t="s">
        <v>20</v>
      </c>
      <c r="B1" s="94" t="s">
        <v>52</v>
      </c>
      <c r="C1" s="95"/>
      <c r="D1" s="95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3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3" t="s">
        <v>33</v>
      </c>
      <c r="M3" s="23" t="s">
        <v>34</v>
      </c>
      <c r="N3" s="24"/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6</v>
      </c>
      <c r="B5" s="26" t="s">
        <v>35</v>
      </c>
      <c r="C5" s="27">
        <v>100</v>
      </c>
      <c r="D5" s="28">
        <f t="shared" ref="D5:D8" si="0">C5*E5</f>
        <v>100</v>
      </c>
      <c r="E5" s="29">
        <v>1</v>
      </c>
      <c r="F5" s="28">
        <f t="shared" ref="F5:F8" si="1">C5-D5</f>
        <v>0</v>
      </c>
      <c r="G5" s="29">
        <f t="shared" ref="G5:G8" si="2">F5/C5</f>
        <v>0</v>
      </c>
      <c r="H5" s="30">
        <f>'Ingredientes '!B5</f>
        <v>0.57999999999999996</v>
      </c>
      <c r="I5" s="30">
        <f t="shared" ref="I5:I8" si="3">F5*H5</f>
        <v>0</v>
      </c>
      <c r="J5" s="30">
        <f t="shared" ref="J5:J8" si="4">D5*H5</f>
        <v>57.999999999999993</v>
      </c>
      <c r="K5" s="30">
        <f t="shared" ref="K5:K8" si="5">C5*H5</f>
        <v>57.999999999999993</v>
      </c>
      <c r="L5" s="31">
        <f>(K5/$B$12)*'Ingredientes '!G6</f>
        <v>82.857142857142847</v>
      </c>
      <c r="M5" s="29">
        <f t="shared" ref="M5:M8" si="6">L5/$L$10</f>
        <v>9.3302339797469557E-3</v>
      </c>
      <c r="N5" s="20"/>
    </row>
    <row r="6" spans="1:14" x14ac:dyDescent="0.2">
      <c r="A6" s="25" t="s">
        <v>11</v>
      </c>
      <c r="B6" s="26" t="s">
        <v>35</v>
      </c>
      <c r="C6" s="27">
        <v>100</v>
      </c>
      <c r="D6" s="28">
        <f t="shared" si="0"/>
        <v>100</v>
      </c>
      <c r="E6" s="29">
        <v>1</v>
      </c>
      <c r="F6" s="28">
        <f t="shared" si="1"/>
        <v>0</v>
      </c>
      <c r="G6" s="29">
        <f t="shared" si="2"/>
        <v>0</v>
      </c>
      <c r="H6" s="30">
        <f>'Ingredientes '!B8</f>
        <v>1.51</v>
      </c>
      <c r="I6" s="30">
        <f t="shared" si="3"/>
        <v>0</v>
      </c>
      <c r="J6" s="30">
        <f t="shared" si="4"/>
        <v>151</v>
      </c>
      <c r="K6" s="30">
        <f t="shared" si="5"/>
        <v>151</v>
      </c>
      <c r="L6" s="31">
        <f>(K6/B12)*'Ingredientes '!G6</f>
        <v>215.71428571428572</v>
      </c>
      <c r="M6" s="29">
        <f t="shared" si="6"/>
        <v>2.4290781567961908E-2</v>
      </c>
      <c r="N6" s="20"/>
    </row>
    <row r="7" spans="1:14" x14ac:dyDescent="0.2">
      <c r="A7" s="25" t="s">
        <v>48</v>
      </c>
      <c r="B7" s="26" t="s">
        <v>35</v>
      </c>
      <c r="C7" s="27">
        <v>150</v>
      </c>
      <c r="D7" s="28">
        <f t="shared" si="0"/>
        <v>139.5</v>
      </c>
      <c r="E7" s="29">
        <v>0.93</v>
      </c>
      <c r="F7" s="28">
        <f t="shared" si="1"/>
        <v>10.5</v>
      </c>
      <c r="G7" s="29">
        <f t="shared" si="2"/>
        <v>7.0000000000000007E-2</v>
      </c>
      <c r="H7" s="30">
        <f>'Ingredientes '!B11</f>
        <v>15.8</v>
      </c>
      <c r="I7" s="30">
        <f t="shared" si="3"/>
        <v>165.9</v>
      </c>
      <c r="J7" s="30">
        <f t="shared" si="4"/>
        <v>2204.1</v>
      </c>
      <c r="K7" s="30">
        <f t="shared" si="5"/>
        <v>2370</v>
      </c>
      <c r="L7" s="31">
        <f>(K7/B12)*'Ingredientes '!G6</f>
        <v>3385.7142857142853</v>
      </c>
      <c r="M7" s="29">
        <f t="shared" si="6"/>
        <v>0.38125266434483251</v>
      </c>
      <c r="N7" s="20"/>
    </row>
    <row r="8" spans="1:14" x14ac:dyDescent="0.2">
      <c r="A8" s="25" t="s">
        <v>8</v>
      </c>
      <c r="B8" s="26" t="s">
        <v>35</v>
      </c>
      <c r="C8" s="27">
        <v>45</v>
      </c>
      <c r="D8" s="28">
        <f t="shared" si="0"/>
        <v>45</v>
      </c>
      <c r="E8" s="29">
        <v>1</v>
      </c>
      <c r="F8" s="28">
        <f t="shared" si="1"/>
        <v>0</v>
      </c>
      <c r="G8" s="29">
        <f t="shared" si="2"/>
        <v>0</v>
      </c>
      <c r="H8" s="30">
        <f>'Ingredientes '!B6</f>
        <v>80.83</v>
      </c>
      <c r="I8" s="30">
        <f t="shared" si="3"/>
        <v>0</v>
      </c>
      <c r="J8" s="30">
        <f t="shared" si="4"/>
        <v>3637.35</v>
      </c>
      <c r="K8" s="30">
        <f t="shared" si="5"/>
        <v>3637.35</v>
      </c>
      <c r="L8" s="31">
        <f>(K8/B12)*'Ingredientes '!G6</f>
        <v>5196.2142857142853</v>
      </c>
      <c r="M8" s="29">
        <f t="shared" si="6"/>
        <v>0.58512632010745846</v>
      </c>
      <c r="N8" s="20"/>
    </row>
    <row r="9" spans="1:1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32" t="s">
        <v>38</v>
      </c>
      <c r="B10" s="33"/>
      <c r="C10" s="34" t="s">
        <v>39</v>
      </c>
      <c r="D10" s="35">
        <f>SUM(D5:D7)</f>
        <v>339.5</v>
      </c>
      <c r="E10" s="33"/>
      <c r="F10" s="33"/>
      <c r="G10" s="33"/>
      <c r="H10" s="30">
        <f>SUM(H5:H7)</f>
        <v>17.89</v>
      </c>
      <c r="I10" s="33"/>
      <c r="J10" s="33"/>
      <c r="K10" s="30">
        <f>SUM(K5:K7)</f>
        <v>2579</v>
      </c>
      <c r="L10" s="30">
        <f t="shared" ref="L10:M10" si="7">L5+L6+L7+L8</f>
        <v>8880.5</v>
      </c>
      <c r="M10" s="36">
        <f t="shared" si="7"/>
        <v>0.99999999999999978</v>
      </c>
      <c r="N10" s="20"/>
    </row>
    <row r="11" spans="1:14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32" t="s">
        <v>40</v>
      </c>
      <c r="B12" s="28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2" t="s">
        <v>41</v>
      </c>
      <c r="B13" s="30">
        <f>K10/B12</f>
        <v>368.42857142857144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32" t="s">
        <v>42</v>
      </c>
      <c r="B14" s="26">
        <f>D10/B12</f>
        <v>48.5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B13"/>
  <sheetViews>
    <sheetView workbookViewId="0"/>
  </sheetViews>
  <sheetFormatPr baseColWidth="10" defaultColWidth="14.42578125" defaultRowHeight="15.75" customHeight="1" x14ac:dyDescent="0.2"/>
  <cols>
    <col min="1" max="1" width="65.5703125" customWidth="1"/>
  </cols>
  <sheetData>
    <row r="1" spans="1:2" ht="21" x14ac:dyDescent="0.35">
      <c r="A1" s="37" t="s">
        <v>53</v>
      </c>
      <c r="B1" s="38"/>
    </row>
    <row r="2" spans="1:2" ht="12.75" x14ac:dyDescent="0.2">
      <c r="A2" s="39" t="s">
        <v>54</v>
      </c>
      <c r="B2" s="39" t="s">
        <v>55</v>
      </c>
    </row>
    <row r="3" spans="1:2" ht="12.75" x14ac:dyDescent="0.2">
      <c r="A3" s="26" t="s">
        <v>21</v>
      </c>
      <c r="B3" s="31">
        <f>'Merengue de Albahaca Morada'!B13</f>
        <v>116.53687499999999</v>
      </c>
    </row>
    <row r="4" spans="1:2" ht="12.75" x14ac:dyDescent="0.2">
      <c r="A4" s="26" t="s">
        <v>43</v>
      </c>
      <c r="B4" s="31">
        <f>'Mousse de chocolate'!B16</f>
        <v>130.08666666666667</v>
      </c>
    </row>
    <row r="5" spans="1:2" ht="12.75" x14ac:dyDescent="0.2">
      <c r="A5" s="26" t="s">
        <v>56</v>
      </c>
      <c r="B5" s="31">
        <f>'Coulis de Lulo y Fresa'!B13</f>
        <v>135.41111111111113</v>
      </c>
    </row>
    <row r="6" spans="1:2" ht="12.75" x14ac:dyDescent="0.2">
      <c r="A6" s="26" t="s">
        <v>57</v>
      </c>
      <c r="B6" s="31">
        <f>'Jengibre confitado'!B12</f>
        <v>79.337500000000006</v>
      </c>
    </row>
    <row r="7" spans="1:2" ht="12.75" x14ac:dyDescent="0.2">
      <c r="A7" s="26" t="s">
        <v>58</v>
      </c>
      <c r="B7" s="31">
        <f>'Lulo macerado con almíbar de ag'!B13</f>
        <v>102.71428571428571</v>
      </c>
    </row>
    <row r="8" spans="1:2" ht="12.75" x14ac:dyDescent="0.2">
      <c r="A8" s="26" t="s">
        <v>52</v>
      </c>
      <c r="B8" s="31">
        <f>'Fresa macerada con almíbar de a'!B13</f>
        <v>368.42857142857144</v>
      </c>
    </row>
    <row r="9" spans="1:2" ht="30" customHeight="1" x14ac:dyDescent="0.3">
      <c r="A9" s="40" t="s">
        <v>59</v>
      </c>
      <c r="B9" s="41">
        <f>SUM(B3:B8)</f>
        <v>932.51500992063484</v>
      </c>
    </row>
    <row r="10" spans="1:2" ht="31.5" customHeight="1" x14ac:dyDescent="0.3">
      <c r="A10" s="40" t="s">
        <v>60</v>
      </c>
      <c r="B10" s="41">
        <v>11000</v>
      </c>
    </row>
    <row r="13" spans="1:2" ht="34.5" customHeight="1" x14ac:dyDescent="0.25">
      <c r="A13" s="42" t="s">
        <v>61</v>
      </c>
      <c r="B13" s="43">
        <f>B10-B9</f>
        <v>10067.484990079365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38"/>
  <sheetViews>
    <sheetView workbookViewId="0"/>
  </sheetViews>
  <sheetFormatPr baseColWidth="10" defaultColWidth="14.42578125" defaultRowHeight="15.75" customHeight="1" x14ac:dyDescent="0.2"/>
  <cols>
    <col min="1" max="1" width="32.28515625" customWidth="1"/>
    <col min="2" max="2" width="24" customWidth="1"/>
    <col min="3" max="4" width="14.42578125" hidden="1"/>
  </cols>
  <sheetData>
    <row r="1" spans="1:6" x14ac:dyDescent="0.2">
      <c r="A1" s="1" t="s">
        <v>0</v>
      </c>
      <c r="B1" s="2"/>
      <c r="C1" s="3"/>
    </row>
    <row r="2" spans="1:6" x14ac:dyDescent="0.2">
      <c r="A2" s="4" t="s">
        <v>1</v>
      </c>
      <c r="B2" s="5" t="s">
        <v>2</v>
      </c>
    </row>
    <row r="3" spans="1:6" x14ac:dyDescent="0.2">
      <c r="A3" s="2"/>
      <c r="B3" s="6" t="s">
        <v>3</v>
      </c>
      <c r="C3" s="3"/>
    </row>
    <row r="4" spans="1:6" ht="15.75" customHeight="1" x14ac:dyDescent="0.25">
      <c r="A4" s="7" t="s">
        <v>4</v>
      </c>
      <c r="B4" s="8" t="s">
        <v>5</v>
      </c>
      <c r="C4" s="9"/>
    </row>
    <row r="5" spans="1:6" x14ac:dyDescent="0.2">
      <c r="A5" s="25" t="s">
        <v>62</v>
      </c>
      <c r="B5" s="11">
        <f>8990/500</f>
        <v>17.98</v>
      </c>
      <c r="C5" s="3">
        <v>8990</v>
      </c>
      <c r="E5" s="12" t="s">
        <v>63</v>
      </c>
    </row>
    <row r="6" spans="1:6" x14ac:dyDescent="0.2">
      <c r="A6" s="25" t="s">
        <v>64</v>
      </c>
      <c r="B6" s="11">
        <f>10500/1000</f>
        <v>10.5</v>
      </c>
      <c r="C6" s="3">
        <v>10500</v>
      </c>
      <c r="E6" s="12">
        <v>10</v>
      </c>
      <c r="F6" s="12" t="s">
        <v>9</v>
      </c>
    </row>
    <row r="7" spans="1:6" x14ac:dyDescent="0.2">
      <c r="A7" s="25" t="s">
        <v>65</v>
      </c>
      <c r="B7" s="11">
        <f>3690/190</f>
        <v>19.421052631578949</v>
      </c>
      <c r="C7" s="3">
        <v>3690</v>
      </c>
    </row>
    <row r="8" spans="1:6" x14ac:dyDescent="0.2">
      <c r="A8" s="25" t="s">
        <v>66</v>
      </c>
      <c r="B8" s="11">
        <v>6.26</v>
      </c>
      <c r="C8" s="3">
        <v>1190</v>
      </c>
    </row>
    <row r="9" spans="1:6" x14ac:dyDescent="0.2">
      <c r="A9" s="25" t="s">
        <v>67</v>
      </c>
      <c r="B9" s="11">
        <v>2.85</v>
      </c>
      <c r="C9" s="3">
        <v>2850</v>
      </c>
    </row>
    <row r="10" spans="1:6" x14ac:dyDescent="0.2">
      <c r="A10" s="25" t="s">
        <v>68</v>
      </c>
      <c r="B10" s="11">
        <v>1.2</v>
      </c>
      <c r="C10" s="3">
        <v>1200</v>
      </c>
    </row>
    <row r="11" spans="1:6" x14ac:dyDescent="0.2">
      <c r="A11" s="25" t="s">
        <v>69</v>
      </c>
      <c r="B11" s="11">
        <f>5990/250</f>
        <v>23.96</v>
      </c>
      <c r="C11" s="3">
        <v>5990</v>
      </c>
    </row>
    <row r="12" spans="1:6" x14ac:dyDescent="0.2">
      <c r="A12" s="25" t="s">
        <v>70</v>
      </c>
      <c r="B12" s="11">
        <v>5.15</v>
      </c>
      <c r="C12" s="3">
        <v>5150</v>
      </c>
    </row>
    <row r="13" spans="1:6" x14ac:dyDescent="0.2">
      <c r="A13" s="25" t="s">
        <v>71</v>
      </c>
      <c r="B13" s="11">
        <v>18.04</v>
      </c>
      <c r="C13" s="14">
        <v>4509</v>
      </c>
    </row>
    <row r="14" spans="1:6" x14ac:dyDescent="0.2">
      <c r="A14" s="25" t="s">
        <v>72</v>
      </c>
      <c r="B14" s="11">
        <v>1.71</v>
      </c>
    </row>
    <row r="15" spans="1:6" x14ac:dyDescent="0.2">
      <c r="A15" s="25" t="s">
        <v>73</v>
      </c>
      <c r="B15" s="11">
        <v>2.7</v>
      </c>
      <c r="C15" s="2"/>
    </row>
    <row r="16" spans="1:6" x14ac:dyDescent="0.2">
      <c r="A16" s="25" t="s">
        <v>74</v>
      </c>
      <c r="B16" s="11">
        <v>27.19</v>
      </c>
    </row>
    <row r="17" spans="1:4" x14ac:dyDescent="0.2">
      <c r="A17" s="25" t="s">
        <v>75</v>
      </c>
      <c r="B17" s="11">
        <v>11.36</v>
      </c>
    </row>
    <row r="18" spans="1:4" x14ac:dyDescent="0.2">
      <c r="A18" s="44" t="s">
        <v>76</v>
      </c>
      <c r="B18" s="11">
        <f>2990/175</f>
        <v>17.085714285714285</v>
      </c>
      <c r="C18" s="12">
        <v>2990</v>
      </c>
    </row>
    <row r="19" spans="1:4" x14ac:dyDescent="0.2">
      <c r="A19" s="44" t="s">
        <v>77</v>
      </c>
      <c r="B19" s="11">
        <f>2100/200</f>
        <v>10.5</v>
      </c>
      <c r="C19" s="12">
        <v>2100</v>
      </c>
      <c r="D19" s="12">
        <v>200</v>
      </c>
    </row>
    <row r="20" spans="1:4" x14ac:dyDescent="0.2">
      <c r="A20" s="44" t="s">
        <v>78</v>
      </c>
      <c r="B20" s="11">
        <f>2300/125</f>
        <v>18.399999999999999</v>
      </c>
      <c r="C20" s="12">
        <v>2300</v>
      </c>
      <c r="D20" s="12">
        <v>125</v>
      </c>
    </row>
    <row r="21" spans="1:4" x14ac:dyDescent="0.2">
      <c r="A21" s="44" t="s">
        <v>79</v>
      </c>
      <c r="B21" s="11">
        <f>6000/1000</f>
        <v>6</v>
      </c>
      <c r="C21" s="12">
        <v>6000</v>
      </c>
      <c r="D21" s="12">
        <v>1000</v>
      </c>
    </row>
    <row r="22" spans="1:4" x14ac:dyDescent="0.2">
      <c r="A22" s="44" t="s">
        <v>80</v>
      </c>
      <c r="B22" s="11">
        <f>2890/50</f>
        <v>57.8</v>
      </c>
      <c r="C22" s="12">
        <v>2890</v>
      </c>
      <c r="D22" s="12">
        <v>50</v>
      </c>
    </row>
    <row r="23" spans="1:4" x14ac:dyDescent="0.2">
      <c r="A23" s="44" t="s">
        <v>81</v>
      </c>
      <c r="B23" s="11">
        <f>2250/1500</f>
        <v>1.5</v>
      </c>
      <c r="C23" s="12">
        <v>2250</v>
      </c>
      <c r="D23" s="12">
        <v>1500</v>
      </c>
    </row>
    <row r="24" spans="1:4" x14ac:dyDescent="0.2">
      <c r="A24" s="44" t="s">
        <v>82</v>
      </c>
      <c r="B24" s="11">
        <f>3498/200</f>
        <v>17.489999999999998</v>
      </c>
      <c r="C24" s="12">
        <v>3498</v>
      </c>
      <c r="D24" s="12">
        <v>200</v>
      </c>
    </row>
    <row r="25" spans="1:4" x14ac:dyDescent="0.2">
      <c r="A25" s="44" t="s">
        <v>83</v>
      </c>
      <c r="B25" s="11">
        <f>12950/1000</f>
        <v>12.95</v>
      </c>
      <c r="C25" s="12">
        <v>12950</v>
      </c>
      <c r="D25" s="12">
        <v>1000</v>
      </c>
    </row>
    <row r="26" spans="1:4" x14ac:dyDescent="0.2">
      <c r="A26" s="44" t="s">
        <v>84</v>
      </c>
      <c r="B26" s="11">
        <f>3100/50</f>
        <v>62</v>
      </c>
      <c r="C26" s="12">
        <v>3100</v>
      </c>
      <c r="D26" s="12">
        <v>50</v>
      </c>
    </row>
    <row r="27" spans="1:4" x14ac:dyDescent="0.2">
      <c r="A27" s="44" t="s">
        <v>85</v>
      </c>
      <c r="B27" s="11">
        <f>18700/1000</f>
        <v>18.7</v>
      </c>
      <c r="C27" s="12">
        <v>18700</v>
      </c>
      <c r="D27" s="12">
        <v>1000</v>
      </c>
    </row>
    <row r="28" spans="1:4" x14ac:dyDescent="0.2">
      <c r="A28" s="44" t="s">
        <v>86</v>
      </c>
      <c r="B28" s="11">
        <f>1990/900</f>
        <v>2.2111111111111112</v>
      </c>
      <c r="C28" s="12">
        <v>1990</v>
      </c>
      <c r="D28" s="12">
        <v>900</v>
      </c>
    </row>
    <row r="29" spans="1:4" x14ac:dyDescent="0.2">
      <c r="A29" s="44" t="s">
        <v>87</v>
      </c>
      <c r="B29" s="11">
        <f>2490/1000</f>
        <v>2.4900000000000002</v>
      </c>
      <c r="C29" s="12">
        <v>2490</v>
      </c>
      <c r="D29" s="12">
        <v>1000</v>
      </c>
    </row>
    <row r="30" spans="1:4" x14ac:dyDescent="0.2">
      <c r="A30" s="44" t="s">
        <v>88</v>
      </c>
      <c r="B30" s="11">
        <v>17.329999999999998</v>
      </c>
    </row>
    <row r="31" spans="1:4" x14ac:dyDescent="0.2">
      <c r="A31" s="44" t="s">
        <v>6</v>
      </c>
      <c r="B31" s="11">
        <v>0.57999999999999996</v>
      </c>
    </row>
    <row r="32" spans="1:4" x14ac:dyDescent="0.2">
      <c r="A32" s="44" t="s">
        <v>89</v>
      </c>
      <c r="B32" s="11" t="s">
        <v>90</v>
      </c>
    </row>
    <row r="33" spans="1:2" x14ac:dyDescent="0.2">
      <c r="A33" s="44" t="s">
        <v>45</v>
      </c>
      <c r="B33" s="11">
        <v>12.5</v>
      </c>
    </row>
    <row r="34" spans="1:2" x14ac:dyDescent="0.2">
      <c r="A34" s="44" t="s">
        <v>18</v>
      </c>
      <c r="B34" s="11">
        <v>66.67</v>
      </c>
    </row>
    <row r="35" spans="1:2" x14ac:dyDescent="0.2">
      <c r="A35" s="44" t="s">
        <v>47</v>
      </c>
      <c r="B35" s="11">
        <v>3.4</v>
      </c>
    </row>
    <row r="36" spans="1:2" ht="12.75" x14ac:dyDescent="0.2">
      <c r="A36" s="44" t="s">
        <v>48</v>
      </c>
      <c r="B36" s="11">
        <v>15.8</v>
      </c>
    </row>
    <row r="37" spans="1:2" ht="12.75" x14ac:dyDescent="0.2">
      <c r="A37" s="44" t="s">
        <v>8</v>
      </c>
      <c r="B37" s="11">
        <v>80.83</v>
      </c>
    </row>
    <row r="38" spans="1:2" ht="12.75" x14ac:dyDescent="0.2">
      <c r="A38" s="44" t="s">
        <v>91</v>
      </c>
      <c r="B38" s="11">
        <v>11.18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3D48D-0F6F-457B-9B34-6A02A6363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1DC9B5-56B2-4E95-92B5-0A51DCED2B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A1AE2A-3695-4F2B-AEDB-35810F68D4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Ingredientes </vt:lpstr>
      <vt:lpstr>Merengue de Albahaca Morada</vt:lpstr>
      <vt:lpstr>Mousse de chocolate</vt:lpstr>
      <vt:lpstr>Coulis de Lulo y Fresa</vt:lpstr>
      <vt:lpstr>Jengibre confitado</vt:lpstr>
      <vt:lpstr>Lulo macerado con almíbar de ag</vt:lpstr>
      <vt:lpstr>Fresa macerada con almíbar de a</vt:lpstr>
      <vt:lpstr>Plato Estandarizado </vt:lpstr>
      <vt:lpstr>Ingrediente cena  </vt:lpstr>
      <vt:lpstr>Entrada</vt:lpstr>
      <vt:lpstr>Plato fuerte </vt:lpstr>
      <vt:lpstr>Limonada gasificada</vt:lpstr>
      <vt:lpstr>Sangría</vt:lpstr>
      <vt:lpstr>Latte con chocolate</vt:lpstr>
      <vt:lpstr>Costo total cena </vt:lpstr>
      <vt:lpstr>Costos finales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Jose Barreto Arrieta</dc:creator>
  <cp:lastModifiedBy>Nicolas Jose Barreto Arrieta</cp:lastModifiedBy>
  <dcterms:created xsi:type="dcterms:W3CDTF">2022-01-26T20:35:30Z</dcterms:created>
  <dcterms:modified xsi:type="dcterms:W3CDTF">2022-01-26T20:35:30Z</dcterms:modified>
</cp:coreProperties>
</file>