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biblioteca\Documents\Tesis\tesis\Tesis CD's\"/>
    </mc:Choice>
  </mc:AlternateContent>
  <workbookProtection workbookPassword="E7AF" revisionsPassword="DD50" lockStructure="1"/>
  <bookViews>
    <workbookView xWindow="6825" yWindow="-15" windowWidth="6795" windowHeight="5190" tabRatio="614"/>
  </bookViews>
  <sheets>
    <sheet name="Inicio" sheetId="1" r:id="rId1"/>
    <sheet name="presupuesto compras y ventas" sheetId="2" r:id="rId2"/>
    <sheet name="gastos personal" sheetId="3" r:id="rId3"/>
    <sheet name="gastos depreciación" sheetId="4" r:id="rId4"/>
    <sheet name="gastos generales" sheetId="5" r:id="rId5"/>
    <sheet name="inversión inicial" sheetId="6" r:id="rId6"/>
    <sheet name="financiación" sheetId="7" r:id="rId7"/>
    <sheet name="flujo" sheetId="8" r:id="rId8"/>
    <sheet name="p y g proyectado" sheetId="9" r:id="rId9"/>
    <sheet name="balance" sheetId="10" r:id="rId10"/>
    <sheet name="análisis inversionista" sheetId="11" r:id="rId11"/>
    <sheet name="análisis proyecto" sheetId="12" r:id="rId12"/>
    <sheet name="sensibilidad inversionista" sheetId="13" r:id="rId13"/>
    <sheet name="sensibilidad proyecto" sheetId="14" r:id="rId14"/>
  </sheets>
  <definedNames>
    <definedName name="_xlnm.Print_Area" localSheetId="10">'análisis inversionista'!$B$1:$R$47</definedName>
    <definedName name="_xlnm.Print_Area" localSheetId="11">'análisis proyecto'!$B$1:$R$49</definedName>
    <definedName name="_xlnm.Print_Area" localSheetId="2">'gastos personal'!$B$1:$R$85</definedName>
    <definedName name="_xlnm.Print_Area" localSheetId="1">'presupuesto compras y ventas'!$B$1:$Q$56</definedName>
    <definedName name="_xlnm.Print_Area" localSheetId="12">'sensibilidad inversionista'!$A$1:$Q$59</definedName>
    <definedName name="_xlnm.Print_Area" localSheetId="13">'sensibilidad proyecto'!$A$1:$Q$59</definedName>
    <definedName name="solver_adj" localSheetId="0" hidden="1">Inicio!$D$29:$D$32</definedName>
    <definedName name="solver_adj" localSheetId="1" hidden="1">'presupuesto compras y ventas'!$C$17:$G$17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Inicio!#REF!</definedName>
    <definedName name="solver_lhs1" localSheetId="1" hidden="1">'presupuesto compras y ventas'!$C$21</definedName>
    <definedName name="solver_lhs2" localSheetId="0" hidden="1">Inicio!#REF!</definedName>
    <definedName name="solver_lhs3" localSheetId="0" hidden="1">Inicio!#REF!</definedName>
    <definedName name="solver_lhs4" localSheetId="0" hidden="1">Inicio!$D$43</definedName>
    <definedName name="solver_lhs5" localSheetId="0" hidden="1">Inicio!#REF!</definedName>
    <definedName name="solver_lhs6" localSheetId="0" hidden="1">Inicio!$D$43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6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Inicio!$E$43</definedName>
    <definedName name="solver_opt" localSheetId="1" hidden="1">'presupuesto compras y ventas'!$D$21</definedName>
    <definedName name="solver_pre" localSheetId="0" hidden="1">0.000001</definedName>
    <definedName name="solver_pre" localSheetId="1" hidden="1">0.000001</definedName>
    <definedName name="solver_rel1" localSheetId="0" hidden="1">3</definedName>
    <definedName name="solver_rel1" localSheetId="1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hs1" localSheetId="0" hidden="1">Inicio!$F$24</definedName>
    <definedName name="solver_rhs1" localSheetId="1" hidden="1">7000000</definedName>
    <definedName name="solver_rhs2" localSheetId="0" hidden="1">Inicio!$F$24</definedName>
    <definedName name="solver_rhs3" localSheetId="0" hidden="1">Inicio!$F$24</definedName>
    <definedName name="solver_rhs4" localSheetId="0" hidden="1">0.1</definedName>
    <definedName name="solver_rhs5" localSheetId="0" hidden="1">Inicio!$F$24</definedName>
    <definedName name="solver_rhs6" localSheetId="0" hidden="1">0.1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3</definedName>
    <definedName name="solver_val" localSheetId="0" hidden="1">0</definedName>
    <definedName name="solver_val" localSheetId="1" hidden="1">0.49</definedName>
    <definedName name="Z_4BF10618_D357_11D5_9338_EFF21189730A_.wvu.PrintArea" localSheetId="10" hidden="1">'análisis inversionista'!$B$1:$R$47</definedName>
    <definedName name="Z_4BF10618_D357_11D5_9338_EFF21189730A_.wvu.PrintArea" localSheetId="11" hidden="1">'análisis proyecto'!$B$1:$R$49</definedName>
    <definedName name="Z_4BF10618_D357_11D5_9338_EFF21189730A_.wvu.PrintArea" localSheetId="2" hidden="1">'gastos personal'!$B$1:$R$85</definedName>
    <definedName name="Z_4BF10618_D357_11D5_9338_EFF21189730A_.wvu.PrintArea" localSheetId="1" hidden="1">'presupuesto compras y ventas'!$B$1:$Q$41</definedName>
    <definedName name="Z_4BF10618_D357_11D5_9338_EFF21189730A_.wvu.PrintArea" localSheetId="12" hidden="1">'sensibilidad inversionista'!$A$1:$Q$59</definedName>
    <definedName name="Z_4BF10618_D357_11D5_9338_EFF21189730A_.wvu.PrintArea" localSheetId="13" hidden="1">'sensibilidad proyecto'!$A$1:$Q$59</definedName>
  </definedNames>
  <calcPr calcId="162913"/>
  <customWorkbookViews>
    <customWorkbookView name="Compaq - Vista personalizada" guid="{4BF10618-D357-11D5-9338-EFF21189730A}" mergeInterval="0" personalView="1" maximized="1" windowWidth="763" windowHeight="411" tabRatio="846" activeSheetId="1"/>
  </customWorkbookViews>
</workbook>
</file>

<file path=xl/calcChain.xml><?xml version="1.0" encoding="utf-8"?>
<calcChain xmlns="http://schemas.openxmlformats.org/spreadsheetml/2006/main">
  <c r="B67" i="5" l="1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D30" i="1"/>
  <c r="E30" i="1" s="1"/>
  <c r="F30" i="1" s="1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10" i="5"/>
  <c r="B9" i="5"/>
  <c r="B8" i="5"/>
  <c r="D29" i="1"/>
  <c r="E29" i="1" s="1"/>
  <c r="F29" i="1" s="1"/>
  <c r="C17" i="2"/>
  <c r="H17" i="2" l="1"/>
  <c r="I17" i="2"/>
  <c r="J17" i="2"/>
  <c r="K17" i="2"/>
  <c r="L17" i="2"/>
  <c r="M17" i="2"/>
  <c r="N17" i="2"/>
  <c r="O17" i="2"/>
  <c r="P17" i="2"/>
  <c r="Q17" i="2"/>
  <c r="C39" i="12" l="1"/>
  <c r="D24" i="2"/>
  <c r="D11" i="4"/>
  <c r="B46" i="3"/>
  <c r="B45" i="3"/>
  <c r="B44" i="3"/>
  <c r="B43" i="3"/>
  <c r="B42" i="3"/>
  <c r="B12" i="4"/>
  <c r="C12" i="4"/>
  <c r="F12" i="4" s="1"/>
  <c r="D12" i="4"/>
  <c r="E12" i="4"/>
  <c r="B13" i="4"/>
  <c r="C13" i="4"/>
  <c r="D13" i="4"/>
  <c r="H13" i="4"/>
  <c r="B14" i="4"/>
  <c r="C14" i="4"/>
  <c r="F14" i="4" s="1"/>
  <c r="D14" i="4"/>
  <c r="E14" i="4"/>
  <c r="B15" i="4"/>
  <c r="C15" i="4"/>
  <c r="I15" i="4" s="1"/>
  <c r="D15" i="4"/>
  <c r="H15" i="4"/>
  <c r="B3" i="9"/>
  <c r="E25" i="2"/>
  <c r="B3" i="11"/>
  <c r="N15" i="11"/>
  <c r="O15" i="11"/>
  <c r="P15" i="11"/>
  <c r="Q15" i="11"/>
  <c r="R15" i="11"/>
  <c r="D24" i="11"/>
  <c r="E24" i="11"/>
  <c r="G24" i="11"/>
  <c r="I24" i="11"/>
  <c r="J24" i="11"/>
  <c r="K24" i="11"/>
  <c r="L24" i="11"/>
  <c r="M24" i="11"/>
  <c r="N24" i="11"/>
  <c r="O24" i="11"/>
  <c r="P24" i="11"/>
  <c r="Q24" i="11"/>
  <c r="R24" i="11"/>
  <c r="D25" i="11"/>
  <c r="E25" i="11"/>
  <c r="G25" i="11"/>
  <c r="I25" i="11"/>
  <c r="J25" i="11"/>
  <c r="K25" i="11"/>
  <c r="L25" i="11"/>
  <c r="M25" i="11"/>
  <c r="N25" i="11"/>
  <c r="O25" i="11"/>
  <c r="P25" i="11"/>
  <c r="Q25" i="11"/>
  <c r="R25" i="11"/>
  <c r="D26" i="11"/>
  <c r="G26" i="11"/>
  <c r="I26" i="11"/>
  <c r="J26" i="11"/>
  <c r="K26" i="11"/>
  <c r="L26" i="11"/>
  <c r="N26" i="11"/>
  <c r="O26" i="11"/>
  <c r="P26" i="11"/>
  <c r="Q26" i="11"/>
  <c r="R26" i="11"/>
  <c r="D27" i="11"/>
  <c r="G27" i="11"/>
  <c r="I27" i="11"/>
  <c r="J27" i="11"/>
  <c r="K27" i="11"/>
  <c r="L27" i="11"/>
  <c r="N27" i="11"/>
  <c r="O27" i="11"/>
  <c r="P27" i="11"/>
  <c r="Q27" i="11"/>
  <c r="R27" i="11"/>
  <c r="C37" i="11"/>
  <c r="C47" i="11"/>
  <c r="B3" i="12"/>
  <c r="N16" i="12"/>
  <c r="O16" i="12"/>
  <c r="P16" i="12"/>
  <c r="Q16" i="12"/>
  <c r="R16" i="12"/>
  <c r="D25" i="12"/>
  <c r="E25" i="12"/>
  <c r="G25" i="12"/>
  <c r="I25" i="12"/>
  <c r="J25" i="12"/>
  <c r="K25" i="12"/>
  <c r="L25" i="12"/>
  <c r="M25" i="12"/>
  <c r="N25" i="12"/>
  <c r="O25" i="12"/>
  <c r="P25" i="12"/>
  <c r="Q25" i="12"/>
  <c r="R25" i="12"/>
  <c r="D26" i="12"/>
  <c r="E26" i="12"/>
  <c r="G26" i="12"/>
  <c r="I26" i="12"/>
  <c r="J26" i="12"/>
  <c r="K26" i="12"/>
  <c r="L26" i="12"/>
  <c r="M26" i="12"/>
  <c r="N26" i="12"/>
  <c r="O26" i="12"/>
  <c r="P26" i="12"/>
  <c r="Q26" i="12"/>
  <c r="R26" i="12"/>
  <c r="D27" i="12"/>
  <c r="G27" i="12"/>
  <c r="I27" i="12"/>
  <c r="J27" i="12"/>
  <c r="K27" i="12"/>
  <c r="L27" i="12"/>
  <c r="N27" i="12"/>
  <c r="O27" i="12"/>
  <c r="P27" i="12"/>
  <c r="Q27" i="12"/>
  <c r="R27" i="12"/>
  <c r="D28" i="12"/>
  <c r="G28" i="12"/>
  <c r="I28" i="12"/>
  <c r="J28" i="12"/>
  <c r="K28" i="12"/>
  <c r="L28" i="12"/>
  <c r="N28" i="12"/>
  <c r="O28" i="12"/>
  <c r="P28" i="12"/>
  <c r="Q28" i="12"/>
  <c r="R28" i="12"/>
  <c r="C49" i="12"/>
  <c r="B3" i="10"/>
  <c r="N11" i="10"/>
  <c r="O11" i="10"/>
  <c r="O12" i="10" s="1"/>
  <c r="P11" i="10"/>
  <c r="Q11" i="10"/>
  <c r="Q12" i="10" s="1"/>
  <c r="R11" i="10"/>
  <c r="N12" i="10"/>
  <c r="P12" i="10"/>
  <c r="R12" i="10"/>
  <c r="N14" i="10"/>
  <c r="O14" i="10"/>
  <c r="O15" i="10" s="1"/>
  <c r="P14" i="10"/>
  <c r="Q14" i="10"/>
  <c r="Q15" i="10" s="1"/>
  <c r="R14" i="10"/>
  <c r="N15" i="10"/>
  <c r="P15" i="10"/>
  <c r="R15" i="10"/>
  <c r="N23" i="10"/>
  <c r="O23" i="10"/>
  <c r="P23" i="10"/>
  <c r="Q23" i="10"/>
  <c r="R23" i="10"/>
  <c r="N24" i="10"/>
  <c r="O24" i="10"/>
  <c r="P24" i="10"/>
  <c r="Q24" i="10"/>
  <c r="R24" i="10"/>
  <c r="N25" i="10"/>
  <c r="O25" i="10"/>
  <c r="P25" i="10"/>
  <c r="Q25" i="10"/>
  <c r="R25" i="10"/>
  <c r="N27" i="10"/>
  <c r="O27" i="10"/>
  <c r="P27" i="10"/>
  <c r="Q27" i="10"/>
  <c r="R27" i="10"/>
  <c r="B4" i="7"/>
  <c r="B6" i="7"/>
  <c r="C7" i="7"/>
  <c r="N7" i="7"/>
  <c r="O7" i="7"/>
  <c r="P7" i="7"/>
  <c r="Q7" i="7"/>
  <c r="R7" i="7"/>
  <c r="I8" i="7"/>
  <c r="J8" i="7"/>
  <c r="K8" i="7"/>
  <c r="L8" i="7"/>
  <c r="M8" i="7"/>
  <c r="N8" i="7"/>
  <c r="O8" i="7"/>
  <c r="P8" i="7"/>
  <c r="Q8" i="7"/>
  <c r="R8" i="7"/>
  <c r="I9" i="7"/>
  <c r="J7" i="7" s="1"/>
  <c r="J9" i="7"/>
  <c r="K7" i="7" s="1"/>
  <c r="J18" i="9" s="1"/>
  <c r="J11" i="13" s="1"/>
  <c r="J25" i="13" s="1"/>
  <c r="K9" i="7"/>
  <c r="L7" i="7" s="1"/>
  <c r="L9" i="7"/>
  <c r="M7" i="7" s="1"/>
  <c r="L18" i="9" s="1"/>
  <c r="L11" i="13" s="1"/>
  <c r="L25" i="13" s="1"/>
  <c r="M9" i="7"/>
  <c r="N9" i="7"/>
  <c r="O9" i="7"/>
  <c r="P9" i="7"/>
  <c r="Q9" i="7"/>
  <c r="R9" i="7"/>
  <c r="C10" i="7"/>
  <c r="B15" i="7"/>
  <c r="C16" i="7"/>
  <c r="N16" i="7"/>
  <c r="O16" i="7"/>
  <c r="P16" i="7"/>
  <c r="Q16" i="7"/>
  <c r="R16" i="7"/>
  <c r="I17" i="7"/>
  <c r="J17" i="7"/>
  <c r="K17" i="7"/>
  <c r="L17" i="7"/>
  <c r="M17" i="7"/>
  <c r="N17" i="7"/>
  <c r="O17" i="7"/>
  <c r="P17" i="7"/>
  <c r="Q17" i="7"/>
  <c r="R17" i="7"/>
  <c r="I18" i="7"/>
  <c r="J16" i="7" s="1"/>
  <c r="J18" i="7"/>
  <c r="K16" i="7" s="1"/>
  <c r="K18" i="7"/>
  <c r="L16" i="7" s="1"/>
  <c r="L18" i="7"/>
  <c r="M16" i="7" s="1"/>
  <c r="M18" i="7"/>
  <c r="N18" i="7"/>
  <c r="O18" i="7"/>
  <c r="P18" i="7"/>
  <c r="Q18" i="7"/>
  <c r="R18" i="7"/>
  <c r="C19" i="7"/>
  <c r="B24" i="7"/>
  <c r="C25" i="7"/>
  <c r="N25" i="7"/>
  <c r="O25" i="7"/>
  <c r="P25" i="7"/>
  <c r="Q25" i="7"/>
  <c r="R25" i="7"/>
  <c r="I26" i="7"/>
  <c r="J26" i="7"/>
  <c r="K26" i="7"/>
  <c r="L26" i="7"/>
  <c r="M26" i="7"/>
  <c r="N26" i="7"/>
  <c r="O26" i="7"/>
  <c r="P26" i="7"/>
  <c r="Q26" i="7"/>
  <c r="R26" i="7"/>
  <c r="I27" i="7"/>
  <c r="J25" i="7" s="1"/>
  <c r="J27" i="7"/>
  <c r="K25" i="7" s="1"/>
  <c r="K27" i="7"/>
  <c r="L25" i="7" s="1"/>
  <c r="L27" i="7"/>
  <c r="M25" i="7" s="1"/>
  <c r="M27" i="7"/>
  <c r="N27" i="7"/>
  <c r="O27" i="7"/>
  <c r="P27" i="7"/>
  <c r="Q27" i="7"/>
  <c r="R27" i="7"/>
  <c r="C28" i="7"/>
  <c r="B3" i="8"/>
  <c r="N8" i="8"/>
  <c r="O8" i="8"/>
  <c r="P8" i="8"/>
  <c r="Q8" i="8"/>
  <c r="R8" i="8"/>
  <c r="N21" i="8"/>
  <c r="O21" i="8"/>
  <c r="P21" i="8"/>
  <c r="Q21" i="8"/>
  <c r="R21" i="8"/>
  <c r="B4" i="4"/>
  <c r="B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B8" i="4"/>
  <c r="C8" i="4"/>
  <c r="F8" i="4" s="1"/>
  <c r="D8" i="4"/>
  <c r="E8" i="4"/>
  <c r="B9" i="4"/>
  <c r="C9" i="4"/>
  <c r="K9" i="4" s="1"/>
  <c r="D9" i="4"/>
  <c r="B10" i="4"/>
  <c r="C10" i="4"/>
  <c r="D10" i="4"/>
  <c r="B11" i="4"/>
  <c r="C11" i="4"/>
  <c r="E11" i="4" s="1"/>
  <c r="B16" i="4"/>
  <c r="C16" i="4"/>
  <c r="H16" i="4" s="1"/>
  <c r="D16" i="4"/>
  <c r="F16" i="4"/>
  <c r="B17" i="4"/>
  <c r="C17" i="4"/>
  <c r="D17" i="4"/>
  <c r="G17" i="4"/>
  <c r="B18" i="4"/>
  <c r="C18" i="4"/>
  <c r="H18" i="4" s="1"/>
  <c r="D18" i="4"/>
  <c r="F18" i="4"/>
  <c r="K18" i="4"/>
  <c r="O18" i="4"/>
  <c r="S18" i="4"/>
  <c r="B19" i="4"/>
  <c r="C19" i="4"/>
  <c r="H19" i="4" s="1"/>
  <c r="D19" i="4"/>
  <c r="F19" i="4"/>
  <c r="K19" i="4"/>
  <c r="O19" i="4"/>
  <c r="S19" i="4"/>
  <c r="B20" i="4"/>
  <c r="C20" i="4"/>
  <c r="F20" i="4" s="1"/>
  <c r="D20" i="4"/>
  <c r="E20" i="4"/>
  <c r="I20" i="4"/>
  <c r="M20" i="4"/>
  <c r="Q20" i="4"/>
  <c r="B21" i="4"/>
  <c r="C21" i="4"/>
  <c r="F21" i="4" s="1"/>
  <c r="D21" i="4"/>
  <c r="I21" i="4"/>
  <c r="M21" i="4"/>
  <c r="Q21" i="4"/>
  <c r="B24" i="4"/>
  <c r="C24" i="4"/>
  <c r="J24" i="4" s="1"/>
  <c r="D24" i="4"/>
  <c r="H24" i="4"/>
  <c r="K24" i="4"/>
  <c r="M24" i="4"/>
  <c r="O24" i="4"/>
  <c r="Q24" i="4"/>
  <c r="S24" i="4"/>
  <c r="B25" i="4"/>
  <c r="C25" i="4"/>
  <c r="J25" i="4" s="1"/>
  <c r="D25" i="4"/>
  <c r="H25" i="4"/>
  <c r="B26" i="4"/>
  <c r="C26" i="4"/>
  <c r="J26" i="4" s="1"/>
  <c r="D26" i="4"/>
  <c r="H26" i="4"/>
  <c r="B27" i="4"/>
  <c r="C27" i="4"/>
  <c r="I27" i="4" s="1"/>
  <c r="D27" i="4"/>
  <c r="G27" i="4" s="1"/>
  <c r="B28" i="4"/>
  <c r="C28" i="4"/>
  <c r="D28" i="4"/>
  <c r="E28" i="4" s="1"/>
  <c r="B29" i="4"/>
  <c r="C29" i="4"/>
  <c r="F29" i="4" s="1"/>
  <c r="D29" i="4"/>
  <c r="E29" i="4"/>
  <c r="I29" i="4"/>
  <c r="M29" i="4"/>
  <c r="Q29" i="4"/>
  <c r="B30" i="4"/>
  <c r="C30" i="4"/>
  <c r="F30" i="4" s="1"/>
  <c r="D30" i="4"/>
  <c r="B31" i="4"/>
  <c r="C31" i="4"/>
  <c r="F31" i="4" s="1"/>
  <c r="D31" i="4"/>
  <c r="E31" i="4"/>
  <c r="I31" i="4"/>
  <c r="M31" i="4"/>
  <c r="Q31" i="4"/>
  <c r="B32" i="4"/>
  <c r="C32" i="4"/>
  <c r="F32" i="4" s="1"/>
  <c r="D32" i="4"/>
  <c r="B33" i="4"/>
  <c r="C33" i="4"/>
  <c r="F33" i="4" s="1"/>
  <c r="D33" i="4"/>
  <c r="E33" i="4"/>
  <c r="I33" i="4"/>
  <c r="M33" i="4"/>
  <c r="Q33" i="4"/>
  <c r="B4" i="5"/>
  <c r="B7" i="5"/>
  <c r="C7" i="5"/>
  <c r="M7" i="5"/>
  <c r="N7" i="5"/>
  <c r="O7" i="5"/>
  <c r="P7" i="5"/>
  <c r="Q7" i="5"/>
  <c r="C8" i="5"/>
  <c r="M8" i="5"/>
  <c r="N8" i="5"/>
  <c r="O8" i="5"/>
  <c r="P8" i="5"/>
  <c r="Q8" i="5"/>
  <c r="C9" i="5"/>
  <c r="D9" i="5" s="1"/>
  <c r="E9" i="5" s="1"/>
  <c r="F9" i="5" s="1"/>
  <c r="G9" i="5" s="1"/>
  <c r="H9" i="5" s="1"/>
  <c r="I9" i="5" s="1"/>
  <c r="J9" i="5" s="1"/>
  <c r="K9" i="5" s="1"/>
  <c r="L9" i="5" s="1"/>
  <c r="M9" i="5"/>
  <c r="N9" i="5"/>
  <c r="O9" i="5"/>
  <c r="P9" i="5"/>
  <c r="Q9" i="5"/>
  <c r="C10" i="5"/>
  <c r="M10" i="5"/>
  <c r="N10" i="5"/>
  <c r="O10" i="5"/>
  <c r="P10" i="5"/>
  <c r="Q10" i="5"/>
  <c r="C11" i="5"/>
  <c r="D11" i="5" s="1"/>
  <c r="E11" i="5" s="1"/>
  <c r="F11" i="5" s="1"/>
  <c r="G11" i="5" s="1"/>
  <c r="H11" i="5" s="1"/>
  <c r="I11" i="5" s="1"/>
  <c r="J11" i="5" s="1"/>
  <c r="K11" i="5" s="1"/>
  <c r="L11" i="5" s="1"/>
  <c r="M11" i="5"/>
  <c r="N11" i="5"/>
  <c r="O11" i="5"/>
  <c r="P11" i="5"/>
  <c r="Q11" i="5"/>
  <c r="C12" i="5"/>
  <c r="M12" i="5"/>
  <c r="N12" i="5"/>
  <c r="O12" i="5"/>
  <c r="P12" i="5"/>
  <c r="Q12" i="5"/>
  <c r="C13" i="5"/>
  <c r="D13" i="5" s="1"/>
  <c r="E13" i="5" s="1"/>
  <c r="F13" i="5" s="1"/>
  <c r="G13" i="5" s="1"/>
  <c r="H13" i="5" s="1"/>
  <c r="I13" i="5" s="1"/>
  <c r="J13" i="5" s="1"/>
  <c r="K13" i="5" s="1"/>
  <c r="L13" i="5" s="1"/>
  <c r="M13" i="5"/>
  <c r="N13" i="5"/>
  <c r="O13" i="5"/>
  <c r="P13" i="5"/>
  <c r="Q13" i="5"/>
  <c r="C14" i="5"/>
  <c r="M14" i="5"/>
  <c r="N14" i="5"/>
  <c r="O14" i="5"/>
  <c r="P14" i="5"/>
  <c r="Q14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/>
  <c r="N15" i="5"/>
  <c r="O15" i="5"/>
  <c r="P15" i="5"/>
  <c r="Q15" i="5"/>
  <c r="C16" i="5"/>
  <c r="M16" i="5"/>
  <c r="N16" i="5"/>
  <c r="O16" i="5"/>
  <c r="P16" i="5"/>
  <c r="Q16" i="5"/>
  <c r="C17" i="5"/>
  <c r="D17" i="5" s="1"/>
  <c r="E17" i="5" s="1"/>
  <c r="F17" i="5" s="1"/>
  <c r="G17" i="5" s="1"/>
  <c r="H17" i="5" s="1"/>
  <c r="I17" i="5" s="1"/>
  <c r="J17" i="5" s="1"/>
  <c r="K17" i="5" s="1"/>
  <c r="L17" i="5" s="1"/>
  <c r="M17" i="5"/>
  <c r="N17" i="5"/>
  <c r="O17" i="5"/>
  <c r="P17" i="5"/>
  <c r="Q17" i="5"/>
  <c r="C18" i="5"/>
  <c r="M18" i="5"/>
  <c r="N18" i="5"/>
  <c r="O18" i="5"/>
  <c r="P18" i="5"/>
  <c r="Q18" i="5"/>
  <c r="C19" i="5"/>
  <c r="D19" i="5" s="1"/>
  <c r="E19" i="5" s="1"/>
  <c r="F19" i="5" s="1"/>
  <c r="G19" i="5" s="1"/>
  <c r="H19" i="5" s="1"/>
  <c r="I19" i="5" s="1"/>
  <c r="J19" i="5" s="1"/>
  <c r="K19" i="5" s="1"/>
  <c r="L19" i="5" s="1"/>
  <c r="M19" i="5"/>
  <c r="N19" i="5"/>
  <c r="O19" i="5"/>
  <c r="P19" i="5"/>
  <c r="Q19" i="5"/>
  <c r="C20" i="5"/>
  <c r="M20" i="5"/>
  <c r="N20" i="5"/>
  <c r="O20" i="5"/>
  <c r="P20" i="5"/>
  <c r="Q20" i="5"/>
  <c r="M21" i="5"/>
  <c r="N21" i="5"/>
  <c r="O21" i="5"/>
  <c r="P21" i="5"/>
  <c r="Q21" i="5"/>
  <c r="C22" i="5"/>
  <c r="M22" i="5"/>
  <c r="N22" i="5"/>
  <c r="O22" i="5"/>
  <c r="P22" i="5"/>
  <c r="Q22" i="5"/>
  <c r="C23" i="5"/>
  <c r="M23" i="5"/>
  <c r="N23" i="5"/>
  <c r="O23" i="5"/>
  <c r="P23" i="5"/>
  <c r="Q23" i="5"/>
  <c r="C25" i="5"/>
  <c r="E25" i="5"/>
  <c r="C26" i="5"/>
  <c r="C29" i="5"/>
  <c r="H29" i="5"/>
  <c r="I29" i="5"/>
  <c r="J29" i="5"/>
  <c r="K29" i="5"/>
  <c r="L29" i="5"/>
  <c r="M29" i="5"/>
  <c r="N29" i="5"/>
  <c r="O29" i="5"/>
  <c r="P29" i="5"/>
  <c r="Q29" i="5"/>
  <c r="C30" i="5"/>
  <c r="D30" i="5" s="1"/>
  <c r="E30" i="5" s="1"/>
  <c r="F30" i="5" s="1"/>
  <c r="G30" i="5" s="1"/>
  <c r="H30" i="5"/>
  <c r="I30" i="5"/>
  <c r="J30" i="5"/>
  <c r="K30" i="5"/>
  <c r="L30" i="5"/>
  <c r="M30" i="5"/>
  <c r="N30" i="5"/>
  <c r="O30" i="5"/>
  <c r="P30" i="5"/>
  <c r="Q30" i="5"/>
  <c r="C31" i="5"/>
  <c r="D31" i="5" s="1"/>
  <c r="E31" i="5" s="1"/>
  <c r="F31" i="5" s="1"/>
  <c r="G31" i="5" s="1"/>
  <c r="H31" i="5"/>
  <c r="I31" i="5"/>
  <c r="J31" i="5"/>
  <c r="K31" i="5"/>
  <c r="L31" i="5"/>
  <c r="M31" i="5"/>
  <c r="N31" i="5"/>
  <c r="O31" i="5"/>
  <c r="P31" i="5"/>
  <c r="Q31" i="5"/>
  <c r="M32" i="5"/>
  <c r="N32" i="5"/>
  <c r="O32" i="5"/>
  <c r="P32" i="5"/>
  <c r="Q32" i="5"/>
  <c r="C33" i="5"/>
  <c r="D33" i="5" s="1"/>
  <c r="E33" i="5" s="1"/>
  <c r="F33" i="5" s="1"/>
  <c r="G33" i="5" s="1"/>
  <c r="H33" i="5"/>
  <c r="I33" i="5"/>
  <c r="J33" i="5"/>
  <c r="K33" i="5"/>
  <c r="L33" i="5"/>
  <c r="M33" i="5"/>
  <c r="N33" i="5"/>
  <c r="O33" i="5"/>
  <c r="P33" i="5"/>
  <c r="Q33" i="5"/>
  <c r="C34" i="5"/>
  <c r="D34" i="5" s="1"/>
  <c r="E34" i="5" s="1"/>
  <c r="F34" i="5" s="1"/>
  <c r="G34" i="5" s="1"/>
  <c r="H34" i="5"/>
  <c r="I34" i="5"/>
  <c r="J34" i="5"/>
  <c r="K34" i="5"/>
  <c r="L34" i="5"/>
  <c r="M34" i="5"/>
  <c r="N34" i="5"/>
  <c r="O34" i="5"/>
  <c r="P34" i="5"/>
  <c r="Q34" i="5"/>
  <c r="C35" i="5"/>
  <c r="D35" i="5" s="1"/>
  <c r="E35" i="5" s="1"/>
  <c r="F35" i="5" s="1"/>
  <c r="G35" i="5" s="1"/>
  <c r="H35" i="5"/>
  <c r="I35" i="5"/>
  <c r="J35" i="5"/>
  <c r="K35" i="5"/>
  <c r="L35" i="5"/>
  <c r="M35" i="5"/>
  <c r="N35" i="5"/>
  <c r="O35" i="5"/>
  <c r="P35" i="5"/>
  <c r="Q35" i="5"/>
  <c r="C36" i="5"/>
  <c r="D36" i="5" s="1"/>
  <c r="E36" i="5" s="1"/>
  <c r="F36" i="5" s="1"/>
  <c r="G36" i="5" s="1"/>
  <c r="H36" i="5"/>
  <c r="I36" i="5"/>
  <c r="J36" i="5"/>
  <c r="K36" i="5"/>
  <c r="L36" i="5"/>
  <c r="M36" i="5"/>
  <c r="N36" i="5"/>
  <c r="O36" i="5"/>
  <c r="P36" i="5"/>
  <c r="Q36" i="5"/>
  <c r="C37" i="5"/>
  <c r="D37" i="5" s="1"/>
  <c r="E37" i="5" s="1"/>
  <c r="F37" i="5" s="1"/>
  <c r="G37" i="5" s="1"/>
  <c r="H37" i="5"/>
  <c r="I37" i="5"/>
  <c r="J37" i="5"/>
  <c r="K37" i="5"/>
  <c r="L37" i="5"/>
  <c r="M37" i="5"/>
  <c r="N37" i="5"/>
  <c r="O37" i="5"/>
  <c r="P37" i="5"/>
  <c r="Q37" i="5"/>
  <c r="C38" i="5"/>
  <c r="D38" i="5" s="1"/>
  <c r="E38" i="5" s="1"/>
  <c r="F38" i="5" s="1"/>
  <c r="G38" i="5" s="1"/>
  <c r="H38" i="5"/>
  <c r="I38" i="5"/>
  <c r="J38" i="5"/>
  <c r="K38" i="5"/>
  <c r="L38" i="5"/>
  <c r="M38" i="5"/>
  <c r="N38" i="5"/>
  <c r="O38" i="5"/>
  <c r="P38" i="5"/>
  <c r="Q38" i="5"/>
  <c r="C39" i="5"/>
  <c r="D39" i="5" s="1"/>
  <c r="E39" i="5" s="1"/>
  <c r="F39" i="5" s="1"/>
  <c r="G39" i="5" s="1"/>
  <c r="H39" i="5"/>
  <c r="I39" i="5"/>
  <c r="J39" i="5"/>
  <c r="K39" i="5"/>
  <c r="L39" i="5"/>
  <c r="M39" i="5"/>
  <c r="N39" i="5"/>
  <c r="O39" i="5"/>
  <c r="P39" i="5"/>
  <c r="Q39" i="5"/>
  <c r="C40" i="5"/>
  <c r="D40" i="5" s="1"/>
  <c r="E40" i="5" s="1"/>
  <c r="F40" i="5" s="1"/>
  <c r="G40" i="5" s="1"/>
  <c r="H40" i="5"/>
  <c r="I40" i="5"/>
  <c r="J40" i="5"/>
  <c r="K40" i="5"/>
  <c r="L40" i="5"/>
  <c r="M40" i="5"/>
  <c r="N40" i="5"/>
  <c r="O40" i="5"/>
  <c r="P40" i="5"/>
  <c r="Q40" i="5"/>
  <c r="C41" i="5"/>
  <c r="D41" i="5" s="1"/>
  <c r="E41" i="5" s="1"/>
  <c r="F41" i="5" s="1"/>
  <c r="G41" i="5" s="1"/>
  <c r="H41" i="5"/>
  <c r="I41" i="5"/>
  <c r="J41" i="5"/>
  <c r="K41" i="5"/>
  <c r="L41" i="5"/>
  <c r="M41" i="5"/>
  <c r="N41" i="5"/>
  <c r="O41" i="5"/>
  <c r="P41" i="5"/>
  <c r="Q41" i="5"/>
  <c r="C42" i="5"/>
  <c r="D42" i="5" s="1"/>
  <c r="E42" i="5" s="1"/>
  <c r="F42" i="5" s="1"/>
  <c r="G42" i="5" s="1"/>
  <c r="H42" i="5"/>
  <c r="I42" i="5"/>
  <c r="J42" i="5"/>
  <c r="K42" i="5"/>
  <c r="L42" i="5"/>
  <c r="M42" i="5"/>
  <c r="N42" i="5"/>
  <c r="O42" i="5"/>
  <c r="P42" i="5"/>
  <c r="Q42" i="5"/>
  <c r="M43" i="5"/>
  <c r="N43" i="5"/>
  <c r="O43" i="5"/>
  <c r="P43" i="5"/>
  <c r="Q43" i="5"/>
  <c r="C44" i="5"/>
  <c r="D44" i="5" s="1"/>
  <c r="E44" i="5" s="1"/>
  <c r="F44" i="5" s="1"/>
  <c r="G44" i="5" s="1"/>
  <c r="H44" i="5"/>
  <c r="I44" i="5"/>
  <c r="J44" i="5"/>
  <c r="K44" i="5"/>
  <c r="L44" i="5"/>
  <c r="M44" i="5"/>
  <c r="N44" i="5"/>
  <c r="O44" i="5"/>
  <c r="P44" i="5"/>
  <c r="Q44" i="5"/>
  <c r="C45" i="5"/>
  <c r="D45" i="5" s="1"/>
  <c r="E45" i="5" s="1"/>
  <c r="F45" i="5" s="1"/>
  <c r="G45" i="5" s="1"/>
  <c r="H45" i="5"/>
  <c r="I45" i="5"/>
  <c r="J45" i="5"/>
  <c r="K45" i="5"/>
  <c r="L45" i="5"/>
  <c r="M45" i="5"/>
  <c r="N45" i="5"/>
  <c r="O45" i="5"/>
  <c r="P45" i="5"/>
  <c r="Q45" i="5"/>
  <c r="C47" i="5"/>
  <c r="E47" i="5"/>
  <c r="C48" i="5"/>
  <c r="C51" i="5"/>
  <c r="D51" i="5" s="1"/>
  <c r="E51" i="5" s="1"/>
  <c r="F51" i="5" s="1"/>
  <c r="G51" i="5" s="1"/>
  <c r="H51" i="5"/>
  <c r="I51" i="5"/>
  <c r="J51" i="5"/>
  <c r="K51" i="5"/>
  <c r="L51" i="5"/>
  <c r="M51" i="5"/>
  <c r="N51" i="5"/>
  <c r="O51" i="5"/>
  <c r="P51" i="5"/>
  <c r="Q51" i="5"/>
  <c r="C52" i="5"/>
  <c r="D52" i="5" s="1"/>
  <c r="E52" i="5" s="1"/>
  <c r="F52" i="5" s="1"/>
  <c r="G52" i="5" s="1"/>
  <c r="H52" i="5"/>
  <c r="I52" i="5"/>
  <c r="J52" i="5"/>
  <c r="K52" i="5"/>
  <c r="L52" i="5"/>
  <c r="M52" i="5"/>
  <c r="N52" i="5"/>
  <c r="O52" i="5"/>
  <c r="P52" i="5"/>
  <c r="Q52" i="5"/>
  <c r="C53" i="5"/>
  <c r="D53" i="5" s="1"/>
  <c r="E53" i="5" s="1"/>
  <c r="F53" i="5" s="1"/>
  <c r="G53" i="5" s="1"/>
  <c r="H53" i="5"/>
  <c r="I53" i="5"/>
  <c r="J53" i="5"/>
  <c r="K53" i="5"/>
  <c r="L53" i="5"/>
  <c r="M53" i="5"/>
  <c r="N53" i="5"/>
  <c r="O53" i="5"/>
  <c r="P53" i="5"/>
  <c r="Q53" i="5"/>
  <c r="C54" i="5"/>
  <c r="D54" i="5" s="1"/>
  <c r="E54" i="5" s="1"/>
  <c r="F54" i="5" s="1"/>
  <c r="G54" i="5" s="1"/>
  <c r="H54" i="5"/>
  <c r="I54" i="5"/>
  <c r="J54" i="5"/>
  <c r="K54" i="5"/>
  <c r="L54" i="5"/>
  <c r="M54" i="5"/>
  <c r="N54" i="5"/>
  <c r="O54" i="5"/>
  <c r="P54" i="5"/>
  <c r="Q54" i="5"/>
  <c r="C55" i="5"/>
  <c r="D55" i="5" s="1"/>
  <c r="E55" i="5" s="1"/>
  <c r="F55" i="5" s="1"/>
  <c r="G55" i="5" s="1"/>
  <c r="H55" i="5"/>
  <c r="I55" i="5"/>
  <c r="J55" i="5"/>
  <c r="K55" i="5"/>
  <c r="L55" i="5"/>
  <c r="M55" i="5"/>
  <c r="N55" i="5"/>
  <c r="O55" i="5"/>
  <c r="P55" i="5"/>
  <c r="Q55" i="5"/>
  <c r="C56" i="5"/>
  <c r="D56" i="5" s="1"/>
  <c r="E56" i="5" s="1"/>
  <c r="F56" i="5" s="1"/>
  <c r="G56" i="5" s="1"/>
  <c r="H56" i="5"/>
  <c r="I56" i="5"/>
  <c r="J56" i="5"/>
  <c r="K56" i="5"/>
  <c r="L56" i="5"/>
  <c r="M56" i="5"/>
  <c r="N56" i="5"/>
  <c r="O56" i="5"/>
  <c r="P56" i="5"/>
  <c r="Q56" i="5"/>
  <c r="C57" i="5"/>
  <c r="D57" i="5" s="1"/>
  <c r="E57" i="5" s="1"/>
  <c r="F57" i="5" s="1"/>
  <c r="G57" i="5" s="1"/>
  <c r="H57" i="5"/>
  <c r="I57" i="5"/>
  <c r="J57" i="5"/>
  <c r="K57" i="5"/>
  <c r="L57" i="5"/>
  <c r="M57" i="5"/>
  <c r="N57" i="5"/>
  <c r="O57" i="5"/>
  <c r="P57" i="5"/>
  <c r="Q57" i="5"/>
  <c r="C58" i="5"/>
  <c r="D58" i="5" s="1"/>
  <c r="E58" i="5" s="1"/>
  <c r="F58" i="5" s="1"/>
  <c r="G58" i="5" s="1"/>
  <c r="H58" i="5"/>
  <c r="I58" i="5"/>
  <c r="J58" i="5"/>
  <c r="K58" i="5"/>
  <c r="L58" i="5"/>
  <c r="M58" i="5"/>
  <c r="N58" i="5"/>
  <c r="O58" i="5"/>
  <c r="P58" i="5"/>
  <c r="Q58" i="5"/>
  <c r="C59" i="5"/>
  <c r="D59" i="5" s="1"/>
  <c r="E59" i="5" s="1"/>
  <c r="F59" i="5" s="1"/>
  <c r="G59" i="5" s="1"/>
  <c r="H59" i="5"/>
  <c r="I59" i="5"/>
  <c r="J59" i="5"/>
  <c r="K59" i="5"/>
  <c r="L59" i="5"/>
  <c r="M59" i="5"/>
  <c r="N59" i="5"/>
  <c r="O59" i="5"/>
  <c r="P59" i="5"/>
  <c r="Q59" i="5"/>
  <c r="C60" i="5"/>
  <c r="D60" i="5"/>
  <c r="E60" i="5" s="1"/>
  <c r="F60" i="5" s="1"/>
  <c r="G60" i="5" s="1"/>
  <c r="H60" i="5"/>
  <c r="I60" i="5"/>
  <c r="J60" i="5"/>
  <c r="K60" i="5"/>
  <c r="L60" i="5"/>
  <c r="M60" i="5"/>
  <c r="N60" i="5"/>
  <c r="O60" i="5"/>
  <c r="P60" i="5"/>
  <c r="Q60" i="5"/>
  <c r="C61" i="5"/>
  <c r="D61" i="5" s="1"/>
  <c r="E61" i="5" s="1"/>
  <c r="F61" i="5" s="1"/>
  <c r="G61" i="5" s="1"/>
  <c r="H61" i="5"/>
  <c r="I61" i="5"/>
  <c r="J61" i="5"/>
  <c r="K61" i="5"/>
  <c r="L61" i="5"/>
  <c r="M61" i="5"/>
  <c r="N61" i="5"/>
  <c r="O61" i="5"/>
  <c r="P61" i="5"/>
  <c r="Q61" i="5"/>
  <c r="C62" i="5"/>
  <c r="D62" i="5" s="1"/>
  <c r="E62" i="5" s="1"/>
  <c r="F62" i="5" s="1"/>
  <c r="G62" i="5" s="1"/>
  <c r="H62" i="5"/>
  <c r="I62" i="5"/>
  <c r="J62" i="5"/>
  <c r="K62" i="5"/>
  <c r="L62" i="5"/>
  <c r="M62" i="5"/>
  <c r="N62" i="5"/>
  <c r="O62" i="5"/>
  <c r="P62" i="5"/>
  <c r="Q62" i="5"/>
  <c r="C63" i="5"/>
  <c r="D63" i="5" s="1"/>
  <c r="E63" i="5" s="1"/>
  <c r="F63" i="5" s="1"/>
  <c r="G63" i="5" s="1"/>
  <c r="H63" i="5"/>
  <c r="I63" i="5"/>
  <c r="J63" i="5"/>
  <c r="K63" i="5"/>
  <c r="L63" i="5"/>
  <c r="M63" i="5"/>
  <c r="N63" i="5"/>
  <c r="O63" i="5"/>
  <c r="P63" i="5"/>
  <c r="Q63" i="5"/>
  <c r="C64" i="5"/>
  <c r="D64" i="5" s="1"/>
  <c r="E64" i="5" s="1"/>
  <c r="F64" i="5" s="1"/>
  <c r="G64" i="5" s="1"/>
  <c r="H64" i="5"/>
  <c r="I64" i="5"/>
  <c r="J64" i="5"/>
  <c r="K64" i="5"/>
  <c r="L64" i="5"/>
  <c r="M64" i="5"/>
  <c r="N64" i="5"/>
  <c r="O64" i="5"/>
  <c r="P64" i="5"/>
  <c r="Q64" i="5"/>
  <c r="M65" i="5"/>
  <c r="N65" i="5"/>
  <c r="O65" i="5"/>
  <c r="P65" i="5"/>
  <c r="Q65" i="5"/>
  <c r="C66" i="5"/>
  <c r="D66" i="5" s="1"/>
  <c r="E66" i="5" s="1"/>
  <c r="F66" i="5" s="1"/>
  <c r="G66" i="5" s="1"/>
  <c r="H66" i="5"/>
  <c r="I66" i="5"/>
  <c r="J66" i="5"/>
  <c r="K66" i="5"/>
  <c r="L66" i="5"/>
  <c r="M66" i="5"/>
  <c r="N66" i="5"/>
  <c r="O66" i="5"/>
  <c r="P66" i="5"/>
  <c r="Q66" i="5"/>
  <c r="C67" i="5"/>
  <c r="D67" i="5" s="1"/>
  <c r="E67" i="5" s="1"/>
  <c r="F67" i="5" s="1"/>
  <c r="G67" i="5" s="1"/>
  <c r="H67" i="5"/>
  <c r="I67" i="5"/>
  <c r="J67" i="5"/>
  <c r="K67" i="5"/>
  <c r="L67" i="5"/>
  <c r="M67" i="5"/>
  <c r="N67" i="5"/>
  <c r="O67" i="5"/>
  <c r="P67" i="5"/>
  <c r="Q67" i="5"/>
  <c r="C69" i="5"/>
  <c r="E69" i="5"/>
  <c r="C70" i="5"/>
  <c r="B4" i="3"/>
  <c r="B8" i="3"/>
  <c r="C8" i="3"/>
  <c r="D8" i="3"/>
  <c r="E8" i="3" s="1"/>
  <c r="F8" i="3" s="1"/>
  <c r="G8" i="3" s="1"/>
  <c r="B9" i="3"/>
  <c r="D9" i="3"/>
  <c r="E9" i="3" s="1"/>
  <c r="B10" i="3"/>
  <c r="C10" i="3"/>
  <c r="D10" i="3"/>
  <c r="E10" i="3" s="1"/>
  <c r="B11" i="3"/>
  <c r="C11" i="3"/>
  <c r="D11" i="3"/>
  <c r="E11" i="3" s="1"/>
  <c r="F11" i="3" s="1"/>
  <c r="G11" i="3" s="1"/>
  <c r="B12" i="3"/>
  <c r="C12" i="3"/>
  <c r="D12" i="3"/>
  <c r="E12" i="3"/>
  <c r="D15" i="3"/>
  <c r="D16" i="3"/>
  <c r="G17" i="3"/>
  <c r="D18" i="3"/>
  <c r="D19" i="3"/>
  <c r="D20" i="3"/>
  <c r="D21" i="3"/>
  <c r="B25" i="3"/>
  <c r="C25" i="3"/>
  <c r="D25" i="3"/>
  <c r="E25" i="3" s="1"/>
  <c r="B26" i="3"/>
  <c r="C26" i="3"/>
  <c r="D26" i="3"/>
  <c r="E26" i="3" s="1"/>
  <c r="B27" i="3"/>
  <c r="C27" i="3"/>
  <c r="D27" i="3"/>
  <c r="E27" i="3" s="1"/>
  <c r="F27" i="3" s="1"/>
  <c r="G27" i="3" s="1"/>
  <c r="B28" i="3"/>
  <c r="C28" i="3"/>
  <c r="D28" i="3"/>
  <c r="E28" i="3" s="1"/>
  <c r="B29" i="3"/>
  <c r="C29" i="3"/>
  <c r="D29" i="3"/>
  <c r="E29" i="3" s="1"/>
  <c r="F29" i="3" s="1"/>
  <c r="G29" i="3" s="1"/>
  <c r="D32" i="3"/>
  <c r="D33" i="3"/>
  <c r="G34" i="3"/>
  <c r="D35" i="3"/>
  <c r="D36" i="3"/>
  <c r="D37" i="3"/>
  <c r="D38" i="3"/>
  <c r="C42" i="3"/>
  <c r="D42" i="3"/>
  <c r="E42" i="3" s="1"/>
  <c r="C43" i="3"/>
  <c r="D43" i="3"/>
  <c r="E43" i="3" s="1"/>
  <c r="C44" i="3"/>
  <c r="D44" i="3"/>
  <c r="E44" i="3" s="1"/>
  <c r="C45" i="3"/>
  <c r="D45" i="3"/>
  <c r="E45" i="3" s="1"/>
  <c r="C46" i="3"/>
  <c r="D46" i="3"/>
  <c r="E46" i="3" s="1"/>
  <c r="D49" i="3"/>
  <c r="D50" i="3"/>
  <c r="G51" i="3"/>
  <c r="D52" i="3"/>
  <c r="D53" i="3"/>
  <c r="D54" i="3"/>
  <c r="D55" i="3"/>
  <c r="B61" i="3"/>
  <c r="N64" i="3"/>
  <c r="O64" i="3"/>
  <c r="N12" i="9" s="1"/>
  <c r="P64" i="3"/>
  <c r="O12" i="9" s="1"/>
  <c r="Q64" i="3"/>
  <c r="P12" i="9" s="1"/>
  <c r="R64" i="3"/>
  <c r="N65" i="3"/>
  <c r="O65" i="3"/>
  <c r="P65" i="3"/>
  <c r="Q65" i="3"/>
  <c r="R65" i="3"/>
  <c r="N66" i="3"/>
  <c r="O66" i="3"/>
  <c r="P66" i="3"/>
  <c r="Q66" i="3"/>
  <c r="R66" i="3"/>
  <c r="N70" i="3"/>
  <c r="M21" i="9" s="1"/>
  <c r="O70" i="3"/>
  <c r="N21" i="9" s="1"/>
  <c r="P70" i="3"/>
  <c r="O21" i="9" s="1"/>
  <c r="Q70" i="3"/>
  <c r="P21" i="9" s="1"/>
  <c r="R70" i="3"/>
  <c r="Q21" i="9" s="1"/>
  <c r="N71" i="3"/>
  <c r="O71" i="3"/>
  <c r="P71" i="3"/>
  <c r="Q71" i="3"/>
  <c r="R71" i="3"/>
  <c r="N72" i="3"/>
  <c r="O72" i="3"/>
  <c r="P72" i="3"/>
  <c r="Q72" i="3"/>
  <c r="R72" i="3"/>
  <c r="N77" i="3"/>
  <c r="O77" i="3"/>
  <c r="P77" i="3"/>
  <c r="Q77" i="3"/>
  <c r="R77" i="3"/>
  <c r="N78" i="3"/>
  <c r="O78" i="3"/>
  <c r="P78" i="3"/>
  <c r="Q78" i="3"/>
  <c r="R78" i="3"/>
  <c r="N79" i="3"/>
  <c r="O79" i="3"/>
  <c r="P79" i="3"/>
  <c r="Q79" i="3"/>
  <c r="R79" i="3"/>
  <c r="C85" i="3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B4" i="6"/>
  <c r="C10" i="6"/>
  <c r="D15" i="6"/>
  <c r="D19" i="6"/>
  <c r="D20" i="6"/>
  <c r="D21" i="6"/>
  <c r="D22" i="6"/>
  <c r="D25" i="6"/>
  <c r="C27" i="6"/>
  <c r="C28" i="6"/>
  <c r="C29" i="6"/>
  <c r="C30" i="6"/>
  <c r="I18" i="9"/>
  <c r="I11" i="13" s="1"/>
  <c r="I25" i="13" s="1"/>
  <c r="K18" i="9"/>
  <c r="K11" i="13" s="1"/>
  <c r="K25" i="13" s="1"/>
  <c r="M18" i="9"/>
  <c r="M11" i="13" s="1"/>
  <c r="M25" i="13" s="1"/>
  <c r="N18" i="9"/>
  <c r="N11" i="13" s="1"/>
  <c r="N25" i="13" s="1"/>
  <c r="O18" i="9"/>
  <c r="O11" i="13" s="1"/>
  <c r="O25" i="13" s="1"/>
  <c r="P18" i="9"/>
  <c r="P11" i="13" s="1"/>
  <c r="P25" i="13" s="1"/>
  <c r="Q18" i="9"/>
  <c r="Q11" i="13" s="1"/>
  <c r="Q25" i="13" s="1"/>
  <c r="C34" i="9"/>
  <c r="C35" i="9"/>
  <c r="C36" i="9"/>
  <c r="B1" i="2"/>
  <c r="B2" i="4" s="1"/>
  <c r="B3" i="2"/>
  <c r="M7" i="2"/>
  <c r="N7" i="2"/>
  <c r="O7" i="2"/>
  <c r="P7" i="2"/>
  <c r="Q7" i="2"/>
  <c r="M8" i="2"/>
  <c r="N8" i="2"/>
  <c r="O8" i="2"/>
  <c r="P8" i="2"/>
  <c r="Q8" i="2"/>
  <c r="C10" i="2"/>
  <c r="C11" i="2"/>
  <c r="C12" i="2"/>
  <c r="B17" i="2"/>
  <c r="B30" i="2" s="1"/>
  <c r="B38" i="2" s="1"/>
  <c r="B18" i="2"/>
  <c r="B31" i="2" s="1"/>
  <c r="B39" i="2" s="1"/>
  <c r="C18" i="2"/>
  <c r="K18" i="2" s="1"/>
  <c r="O18" i="2"/>
  <c r="B19" i="2"/>
  <c r="B32" i="2" s="1"/>
  <c r="C19" i="2"/>
  <c r="I19" i="2" s="1"/>
  <c r="Q19" i="2"/>
  <c r="B24" i="2"/>
  <c r="C24" i="2"/>
  <c r="H24" i="2"/>
  <c r="I24" i="2"/>
  <c r="J24" i="2"/>
  <c r="K24" i="2"/>
  <c r="L24" i="2"/>
  <c r="M24" i="2"/>
  <c r="N24" i="2"/>
  <c r="O24" i="2"/>
  <c r="P24" i="2"/>
  <c r="Q24" i="2"/>
  <c r="B25" i="2"/>
  <c r="C25" i="2"/>
  <c r="D25" i="2"/>
  <c r="F25" i="2"/>
  <c r="G25" i="2"/>
  <c r="H25" i="2"/>
  <c r="I25" i="2"/>
  <c r="J25" i="2"/>
  <c r="K25" i="2"/>
  <c r="L25" i="2"/>
  <c r="M25" i="2"/>
  <c r="N25" i="2"/>
  <c r="O25" i="2"/>
  <c r="P25" i="2"/>
  <c r="Q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C30" i="2"/>
  <c r="D30" i="2" s="1"/>
  <c r="E30" i="2" s="1"/>
  <c r="F30" i="2" s="1"/>
  <c r="C31" i="2"/>
  <c r="C32" i="2"/>
  <c r="C40" i="2" s="1"/>
  <c r="L46" i="2"/>
  <c r="M9" i="10" s="1"/>
  <c r="M46" i="2"/>
  <c r="N9" i="10" s="1"/>
  <c r="N46" i="2"/>
  <c r="O9" i="10" s="1"/>
  <c r="O46" i="2"/>
  <c r="P9" i="10" s="1"/>
  <c r="P46" i="2"/>
  <c r="Q9" i="10" s="1"/>
  <c r="Q46" i="2"/>
  <c r="R9" i="10" s="1"/>
  <c r="B52" i="2"/>
  <c r="B54" i="2"/>
  <c r="A3" i="13"/>
  <c r="M19" i="13"/>
  <c r="N19" i="13"/>
  <c r="O19" i="13"/>
  <c r="P19" i="13"/>
  <c r="Q19" i="13"/>
  <c r="C29" i="13"/>
  <c r="D29" i="13"/>
  <c r="F29" i="13"/>
  <c r="H29" i="13"/>
  <c r="I29" i="13"/>
  <c r="J29" i="13"/>
  <c r="K29" i="13"/>
  <c r="L29" i="13"/>
  <c r="M29" i="13"/>
  <c r="N29" i="13"/>
  <c r="O29" i="13"/>
  <c r="P29" i="13"/>
  <c r="Q29" i="13"/>
  <c r="C30" i="13"/>
  <c r="D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C31" i="13"/>
  <c r="F31" i="13"/>
  <c r="H31" i="13"/>
  <c r="I31" i="13"/>
  <c r="J31" i="13"/>
  <c r="K31" i="13"/>
  <c r="M31" i="13"/>
  <c r="N31" i="13"/>
  <c r="O31" i="13"/>
  <c r="P31" i="13"/>
  <c r="Q31" i="13"/>
  <c r="C32" i="13"/>
  <c r="F32" i="13"/>
  <c r="H32" i="13"/>
  <c r="I32" i="13"/>
  <c r="J32" i="13"/>
  <c r="K32" i="13"/>
  <c r="M32" i="13"/>
  <c r="N32" i="13"/>
  <c r="O32" i="13"/>
  <c r="P32" i="13"/>
  <c r="Q32" i="13"/>
  <c r="H34" i="13"/>
  <c r="I34" i="13"/>
  <c r="J34" i="13"/>
  <c r="K34" i="13"/>
  <c r="L34" i="13"/>
  <c r="M34" i="13"/>
  <c r="N34" i="13"/>
  <c r="O34" i="13"/>
  <c r="P34" i="13"/>
  <c r="Q34" i="13"/>
  <c r="B42" i="13"/>
  <c r="B53" i="13"/>
  <c r="B56" i="13"/>
  <c r="B57" i="13"/>
  <c r="B58" i="13"/>
  <c r="B59" i="13"/>
  <c r="A3" i="14"/>
  <c r="M19" i="14"/>
  <c r="N19" i="14"/>
  <c r="O19" i="14"/>
  <c r="P19" i="14"/>
  <c r="Q19" i="14"/>
  <c r="C29" i="14"/>
  <c r="D29" i="14"/>
  <c r="F29" i="14"/>
  <c r="H29" i="14"/>
  <c r="I29" i="14"/>
  <c r="J29" i="14"/>
  <c r="K29" i="14"/>
  <c r="L29" i="14"/>
  <c r="M29" i="14"/>
  <c r="N29" i="14"/>
  <c r="O29" i="14"/>
  <c r="P29" i="14"/>
  <c r="Q29" i="14"/>
  <c r="C30" i="14"/>
  <c r="D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C31" i="14"/>
  <c r="F31" i="14"/>
  <c r="H31" i="14"/>
  <c r="I31" i="14"/>
  <c r="J31" i="14"/>
  <c r="K31" i="14"/>
  <c r="M31" i="14"/>
  <c r="N31" i="14"/>
  <c r="O31" i="14"/>
  <c r="P31" i="14"/>
  <c r="Q31" i="14"/>
  <c r="C32" i="14"/>
  <c r="F32" i="14"/>
  <c r="H32" i="14"/>
  <c r="I32" i="14"/>
  <c r="J32" i="14"/>
  <c r="K32" i="14"/>
  <c r="M32" i="14"/>
  <c r="N32" i="14"/>
  <c r="O32" i="14"/>
  <c r="P32" i="14"/>
  <c r="Q32" i="14"/>
  <c r="H34" i="14"/>
  <c r="I34" i="14"/>
  <c r="J34" i="14"/>
  <c r="K34" i="14"/>
  <c r="L34" i="14"/>
  <c r="M34" i="14"/>
  <c r="N34" i="14"/>
  <c r="O34" i="14"/>
  <c r="P34" i="14"/>
  <c r="Q34" i="14"/>
  <c r="B42" i="14"/>
  <c r="B53" i="14"/>
  <c r="B56" i="14"/>
  <c r="B57" i="14"/>
  <c r="B58" i="14"/>
  <c r="B59" i="14"/>
  <c r="P10" i="11"/>
  <c r="P20" i="11" s="1"/>
  <c r="J10" i="11"/>
  <c r="J20" i="11" s="1"/>
  <c r="R29" i="11"/>
  <c r="R17" i="8" s="1"/>
  <c r="R30" i="12"/>
  <c r="Q29" i="11"/>
  <c r="Q17" i="8" s="1"/>
  <c r="Q30" i="12"/>
  <c r="P29" i="11"/>
  <c r="P17" i="8" s="1"/>
  <c r="P30" i="12"/>
  <c r="O29" i="11"/>
  <c r="O17" i="8" s="1"/>
  <c r="O30" i="12"/>
  <c r="N29" i="11"/>
  <c r="N17" i="8" s="1"/>
  <c r="N30" i="12"/>
  <c r="M29" i="11"/>
  <c r="M17" i="8" s="1"/>
  <c r="M30" i="12"/>
  <c r="L29" i="11"/>
  <c r="L17" i="8" s="1"/>
  <c r="L30" i="12"/>
  <c r="K29" i="11"/>
  <c r="K17" i="8" s="1"/>
  <c r="K30" i="12"/>
  <c r="J29" i="11"/>
  <c r="J17" i="8" s="1"/>
  <c r="J30" i="12"/>
  <c r="I29" i="11"/>
  <c r="I17" i="8" s="1"/>
  <c r="I30" i="12"/>
  <c r="D32" i="2"/>
  <c r="E32" i="2" s="1"/>
  <c r="D31" i="2"/>
  <c r="E31" i="2" s="1"/>
  <c r="B2" i="6"/>
  <c r="B2" i="7" s="1"/>
  <c r="B1" i="8" s="1"/>
  <c r="B1" i="9" s="1"/>
  <c r="B2" i="3"/>
  <c r="B59" i="3" s="1"/>
  <c r="D23" i="5"/>
  <c r="E23" i="5" s="1"/>
  <c r="F23" i="5" s="1"/>
  <c r="G23" i="5" s="1"/>
  <c r="H23" i="5" s="1"/>
  <c r="I23" i="5" s="1"/>
  <c r="J23" i="5" s="1"/>
  <c r="K23" i="5" s="1"/>
  <c r="L23" i="5" s="1"/>
  <c r="D22" i="5"/>
  <c r="E22" i="5" s="1"/>
  <c r="F22" i="5" s="1"/>
  <c r="G22" i="5" s="1"/>
  <c r="H22" i="5" s="1"/>
  <c r="I22" i="5" s="1"/>
  <c r="J22" i="5" s="1"/>
  <c r="K22" i="5" s="1"/>
  <c r="L22" i="5" s="1"/>
  <c r="D20" i="5"/>
  <c r="E20" i="5" s="1"/>
  <c r="F20" i="5" s="1"/>
  <c r="G20" i="5" s="1"/>
  <c r="H20" i="5" s="1"/>
  <c r="I20" i="5" s="1"/>
  <c r="J20" i="5" s="1"/>
  <c r="K20" i="5" s="1"/>
  <c r="L20" i="5" s="1"/>
  <c r="D18" i="5"/>
  <c r="E18" i="5" s="1"/>
  <c r="F18" i="5" s="1"/>
  <c r="G18" i="5" s="1"/>
  <c r="H18" i="5" s="1"/>
  <c r="I18" i="5" s="1"/>
  <c r="J18" i="5" s="1"/>
  <c r="K18" i="5" s="1"/>
  <c r="L18" i="5" s="1"/>
  <c r="D16" i="5"/>
  <c r="E16" i="5" s="1"/>
  <c r="F16" i="5" s="1"/>
  <c r="G16" i="5" s="1"/>
  <c r="H16" i="5" s="1"/>
  <c r="I16" i="5" s="1"/>
  <c r="J16" i="5" s="1"/>
  <c r="K16" i="5" s="1"/>
  <c r="L16" i="5" s="1"/>
  <c r="D14" i="5"/>
  <c r="E14" i="5" s="1"/>
  <c r="F14" i="5" s="1"/>
  <c r="G14" i="5" s="1"/>
  <c r="H14" i="5" s="1"/>
  <c r="I14" i="5" s="1"/>
  <c r="J14" i="5" s="1"/>
  <c r="K14" i="5" s="1"/>
  <c r="L14" i="5" s="1"/>
  <c r="D12" i="5"/>
  <c r="E12" i="5" s="1"/>
  <c r="F12" i="5" s="1"/>
  <c r="G12" i="5" s="1"/>
  <c r="H12" i="5" s="1"/>
  <c r="I12" i="5" s="1"/>
  <c r="J12" i="5" s="1"/>
  <c r="K12" i="5" s="1"/>
  <c r="L12" i="5" s="1"/>
  <c r="D10" i="5"/>
  <c r="E10" i="5" s="1"/>
  <c r="F10" i="5" s="1"/>
  <c r="G10" i="5" s="1"/>
  <c r="H10" i="5" s="1"/>
  <c r="I10" i="5" s="1"/>
  <c r="J10" i="5" s="1"/>
  <c r="K10" i="5" s="1"/>
  <c r="L10" i="5" s="1"/>
  <c r="D8" i="5"/>
  <c r="E8" i="5" s="1"/>
  <c r="F8" i="5" s="1"/>
  <c r="G8" i="5" s="1"/>
  <c r="H8" i="5" s="1"/>
  <c r="I8" i="5" s="1"/>
  <c r="J8" i="5" s="1"/>
  <c r="K8" i="5" s="1"/>
  <c r="L8" i="5" s="1"/>
  <c r="B2" i="5"/>
  <c r="R7" i="8"/>
  <c r="Q7" i="8"/>
  <c r="P7" i="8"/>
  <c r="O7" i="8"/>
  <c r="N7" i="8"/>
  <c r="R18" i="10"/>
  <c r="Q18" i="10"/>
  <c r="P18" i="10"/>
  <c r="O18" i="10"/>
  <c r="N18" i="10"/>
  <c r="M18" i="10"/>
  <c r="L18" i="10"/>
  <c r="K18" i="10"/>
  <c r="J18" i="10"/>
  <c r="I18" i="10"/>
  <c r="F31" i="2"/>
  <c r="H26" i="12"/>
  <c r="G31" i="2"/>
  <c r="H31" i="2" s="1"/>
  <c r="G7" i="5"/>
  <c r="H7" i="5" s="1"/>
  <c r="G30" i="2"/>
  <c r="H30" i="2" s="1"/>
  <c r="D19" i="2" l="1"/>
  <c r="D34" i="4"/>
  <c r="M19" i="2"/>
  <c r="F46" i="3"/>
  <c r="G46" i="3" s="1"/>
  <c r="F45" i="3"/>
  <c r="G45" i="3" s="1"/>
  <c r="F44" i="3"/>
  <c r="G44" i="3" s="1"/>
  <c r="F43" i="3"/>
  <c r="G43" i="3" s="1"/>
  <c r="S33" i="4"/>
  <c r="O33" i="4"/>
  <c r="K33" i="4"/>
  <c r="G33" i="4"/>
  <c r="S31" i="4"/>
  <c r="O31" i="4"/>
  <c r="K31" i="4"/>
  <c r="G31" i="4"/>
  <c r="S29" i="4"/>
  <c r="O29" i="4"/>
  <c r="K29" i="4"/>
  <c r="G29" i="4"/>
  <c r="Q25" i="4"/>
  <c r="S20" i="4"/>
  <c r="O20" i="4"/>
  <c r="K20" i="4"/>
  <c r="G20" i="4"/>
  <c r="Q19" i="4"/>
  <c r="M19" i="4"/>
  <c r="I19" i="4"/>
  <c r="Q18" i="4"/>
  <c r="M18" i="4"/>
  <c r="I18" i="4"/>
  <c r="F10" i="4"/>
  <c r="N11" i="12"/>
  <c r="N21" i="12" s="1"/>
  <c r="O11" i="14"/>
  <c r="O25" i="14" s="1"/>
  <c r="C14" i="10"/>
  <c r="C15" i="10" s="1"/>
  <c r="C20" i="6"/>
  <c r="E20" i="6" s="1"/>
  <c r="E30" i="4"/>
  <c r="Q9" i="4"/>
  <c r="I9" i="4"/>
  <c r="D18" i="2"/>
  <c r="O19" i="2"/>
  <c r="K19" i="2"/>
  <c r="G19" i="2"/>
  <c r="D30" i="3"/>
  <c r="F28" i="3"/>
  <c r="G28" i="3" s="1"/>
  <c r="D7" i="5"/>
  <c r="E7" i="5" s="1"/>
  <c r="F7" i="5" s="1"/>
  <c r="M32" i="4"/>
  <c r="M30" i="4"/>
  <c r="F28" i="4"/>
  <c r="O27" i="4"/>
  <c r="M25" i="4"/>
  <c r="S21" i="4"/>
  <c r="O21" i="4"/>
  <c r="K21" i="4"/>
  <c r="G21" i="4"/>
  <c r="S10" i="4"/>
  <c r="O10" i="4"/>
  <c r="K10" i="4"/>
  <c r="G10" i="4"/>
  <c r="M9" i="4"/>
  <c r="H18" i="2"/>
  <c r="C32" i="5"/>
  <c r="E32" i="4"/>
  <c r="E21" i="4"/>
  <c r="Q10" i="4"/>
  <c r="M10" i="4"/>
  <c r="I10" i="4"/>
  <c r="E10" i="4"/>
  <c r="E18" i="2"/>
  <c r="O11" i="12"/>
  <c r="O21" i="12" s="1"/>
  <c r="L11" i="12"/>
  <c r="L21" i="12" s="1"/>
  <c r="R10" i="11"/>
  <c r="C31" i="6"/>
  <c r="K11" i="14"/>
  <c r="K25" i="14" s="1"/>
  <c r="Q32" i="4"/>
  <c r="I32" i="4"/>
  <c r="Q30" i="4"/>
  <c r="I30" i="4"/>
  <c r="M28" i="4"/>
  <c r="S25" i="4"/>
  <c r="O25" i="4"/>
  <c r="K25" i="4"/>
  <c r="R24" i="4"/>
  <c r="P24" i="4"/>
  <c r="N24" i="4"/>
  <c r="L24" i="4"/>
  <c r="E24" i="4"/>
  <c r="R21" i="4"/>
  <c r="P21" i="4"/>
  <c r="N21" i="4"/>
  <c r="L21" i="4"/>
  <c r="J21" i="4"/>
  <c r="H21" i="4"/>
  <c r="R20" i="4"/>
  <c r="P20" i="4"/>
  <c r="N20" i="4"/>
  <c r="L20" i="4"/>
  <c r="J20" i="4"/>
  <c r="H20" i="4"/>
  <c r="R19" i="4"/>
  <c r="P19" i="4"/>
  <c r="N19" i="4"/>
  <c r="L19" i="4"/>
  <c r="J19" i="4"/>
  <c r="E19" i="4"/>
  <c r="R18" i="4"/>
  <c r="P18" i="4"/>
  <c r="N18" i="4"/>
  <c r="L18" i="4"/>
  <c r="J18" i="4"/>
  <c r="E18" i="4"/>
  <c r="E17" i="4"/>
  <c r="M8" i="4"/>
  <c r="S32" i="4"/>
  <c r="O32" i="4"/>
  <c r="K32" i="4"/>
  <c r="G32" i="4"/>
  <c r="S30" i="4"/>
  <c r="O30" i="4"/>
  <c r="K30" i="4"/>
  <c r="G30" i="4"/>
  <c r="Q28" i="4"/>
  <c r="I28" i="4"/>
  <c r="Q26" i="4"/>
  <c r="L11" i="4"/>
  <c r="Q8" i="4"/>
  <c r="I8" i="4"/>
  <c r="J20" i="8"/>
  <c r="K11" i="12"/>
  <c r="K21" i="12" s="1"/>
  <c r="P73" i="3"/>
  <c r="R33" i="4"/>
  <c r="P33" i="4"/>
  <c r="N33" i="4"/>
  <c r="L33" i="4"/>
  <c r="J33" i="4"/>
  <c r="H33" i="4"/>
  <c r="R32" i="4"/>
  <c r="P32" i="4"/>
  <c r="N32" i="4"/>
  <c r="L32" i="4"/>
  <c r="J32" i="4"/>
  <c r="H32" i="4"/>
  <c r="R31" i="4"/>
  <c r="P31" i="4"/>
  <c r="N31" i="4"/>
  <c r="L31" i="4"/>
  <c r="J31" i="4"/>
  <c r="H31" i="4"/>
  <c r="R30" i="4"/>
  <c r="P30" i="4"/>
  <c r="N30" i="4"/>
  <c r="L30" i="4"/>
  <c r="J30" i="4"/>
  <c r="H30" i="4"/>
  <c r="R29" i="4"/>
  <c r="P29" i="4"/>
  <c r="N29" i="4"/>
  <c r="L29" i="4"/>
  <c r="J29" i="4"/>
  <c r="J34" i="4" s="1"/>
  <c r="H17" i="9" s="1"/>
  <c r="H29" i="4"/>
  <c r="S27" i="4"/>
  <c r="K27" i="4"/>
  <c r="M26" i="4"/>
  <c r="P11" i="4"/>
  <c r="H11" i="4"/>
  <c r="S8" i="4"/>
  <c r="O8" i="4"/>
  <c r="K8" i="4"/>
  <c r="G8" i="4"/>
  <c r="J11" i="12"/>
  <c r="J21" i="12" s="1"/>
  <c r="L10" i="11"/>
  <c r="L20" i="11" s="1"/>
  <c r="N10" i="11"/>
  <c r="P11" i="12"/>
  <c r="P21" i="12" s="1"/>
  <c r="R11" i="12"/>
  <c r="R21" i="12" s="1"/>
  <c r="Q11" i="14"/>
  <c r="Q25" i="14" s="1"/>
  <c r="M11" i="14"/>
  <c r="M25" i="14" s="1"/>
  <c r="I11" i="14"/>
  <c r="I25" i="14" s="1"/>
  <c r="P22" i="9"/>
  <c r="Q13" i="9"/>
  <c r="O13" i="9"/>
  <c r="M13" i="9"/>
  <c r="M46" i="5"/>
  <c r="M24" i="9" s="1"/>
  <c r="E15" i="4"/>
  <c r="N80" i="3"/>
  <c r="S28" i="4"/>
  <c r="O28" i="4"/>
  <c r="K28" i="4"/>
  <c r="G28" i="4"/>
  <c r="S26" i="4"/>
  <c r="S34" i="4" s="1"/>
  <c r="Q17" i="9" s="1"/>
  <c r="O26" i="4"/>
  <c r="K26" i="4"/>
  <c r="K34" i="4" s="1"/>
  <c r="I17" i="9" s="1"/>
  <c r="R11" i="4"/>
  <c r="N11" i="4"/>
  <c r="J11" i="4"/>
  <c r="F11" i="4"/>
  <c r="S9" i="4"/>
  <c r="O9" i="4"/>
  <c r="E9" i="4"/>
  <c r="D29" i="5"/>
  <c r="E29" i="5" s="1"/>
  <c r="F29" i="5" s="1"/>
  <c r="G29" i="5" s="1"/>
  <c r="E16" i="4"/>
  <c r="G12" i="4"/>
  <c r="G14" i="4"/>
  <c r="E13" i="4"/>
  <c r="R28" i="4"/>
  <c r="P28" i="4"/>
  <c r="N28" i="4"/>
  <c r="L28" i="4"/>
  <c r="J28" i="4"/>
  <c r="H28" i="4"/>
  <c r="Q27" i="4"/>
  <c r="Q34" i="4" s="1"/>
  <c r="O17" i="9" s="1"/>
  <c r="M27" i="4"/>
  <c r="M34" i="4" s="1"/>
  <c r="K17" i="9" s="1"/>
  <c r="E27" i="4"/>
  <c r="R26" i="4"/>
  <c r="R34" i="4" s="1"/>
  <c r="P17" i="9" s="1"/>
  <c r="P26" i="4"/>
  <c r="N26" i="4"/>
  <c r="L26" i="4"/>
  <c r="E26" i="4"/>
  <c r="R25" i="4"/>
  <c r="P25" i="4"/>
  <c r="N25" i="4"/>
  <c r="L25" i="4"/>
  <c r="E25" i="4"/>
  <c r="F27" i="4"/>
  <c r="R27" i="4"/>
  <c r="P27" i="4"/>
  <c r="N27" i="4"/>
  <c r="L27" i="4"/>
  <c r="J27" i="4"/>
  <c r="H27" i="4"/>
  <c r="H34" i="4" s="1"/>
  <c r="F17" i="9" s="1"/>
  <c r="F26" i="4"/>
  <c r="F25" i="4"/>
  <c r="F24" i="4"/>
  <c r="G9" i="4"/>
  <c r="F17" i="4"/>
  <c r="F9" i="4"/>
  <c r="F15" i="4"/>
  <c r="F13" i="4"/>
  <c r="R80" i="3"/>
  <c r="P80" i="3"/>
  <c r="D47" i="3"/>
  <c r="N22" i="9"/>
  <c r="N23" i="9" s="1"/>
  <c r="P20" i="8"/>
  <c r="M11" i="12"/>
  <c r="M21" i="12" s="1"/>
  <c r="Q11" i="12"/>
  <c r="Q21" i="12" s="1"/>
  <c r="P68" i="5"/>
  <c r="Q24" i="5"/>
  <c r="Q15" i="9" s="1"/>
  <c r="M24" i="5"/>
  <c r="M15" i="9" s="1"/>
  <c r="M14" i="14" s="1"/>
  <c r="K10" i="11"/>
  <c r="K20" i="11" s="1"/>
  <c r="M10" i="11"/>
  <c r="M20" i="11" s="1"/>
  <c r="O10" i="11"/>
  <c r="O20" i="11" s="1"/>
  <c r="Q10" i="11"/>
  <c r="Q20" i="11" s="1"/>
  <c r="P11" i="14"/>
  <c r="P25" i="14" s="1"/>
  <c r="N11" i="14"/>
  <c r="N25" i="14" s="1"/>
  <c r="L11" i="14"/>
  <c r="L25" i="14" s="1"/>
  <c r="J11" i="14"/>
  <c r="J25" i="14" s="1"/>
  <c r="O20" i="8"/>
  <c r="L20" i="8"/>
  <c r="E19" i="2"/>
  <c r="D40" i="2"/>
  <c r="K20" i="2"/>
  <c r="M20" i="8"/>
  <c r="K20" i="8"/>
  <c r="O20" i="2"/>
  <c r="C39" i="2"/>
  <c r="Q18" i="2"/>
  <c r="Q20" i="2" s="1"/>
  <c r="M18" i="2"/>
  <c r="I18" i="2"/>
  <c r="I20" i="2" s="1"/>
  <c r="Q46" i="5"/>
  <c r="Q24" i="9" s="1"/>
  <c r="R12" i="11" s="1"/>
  <c r="R15" i="8" s="1"/>
  <c r="N12" i="11"/>
  <c r="N15" i="8" s="1"/>
  <c r="M20" i="2"/>
  <c r="Q22" i="9"/>
  <c r="Q23" i="9" s="1"/>
  <c r="O22" i="9"/>
  <c r="O23" i="9" s="1"/>
  <c r="M22" i="9"/>
  <c r="M23" i="9" s="1"/>
  <c r="R73" i="3"/>
  <c r="N73" i="3"/>
  <c r="O24" i="5"/>
  <c r="O15" i="9" s="1"/>
  <c r="P23" i="9"/>
  <c r="Q80" i="3"/>
  <c r="O80" i="3"/>
  <c r="N68" i="5"/>
  <c r="O46" i="5"/>
  <c r="O24" i="9" s="1"/>
  <c r="N34" i="4"/>
  <c r="L17" i="9" s="1"/>
  <c r="L10" i="14" s="1"/>
  <c r="L23" i="14" s="1"/>
  <c r="F34" i="4"/>
  <c r="D17" i="9" s="1"/>
  <c r="D10" i="13" s="1"/>
  <c r="D23" i="13" s="1"/>
  <c r="E40" i="2"/>
  <c r="F32" i="2"/>
  <c r="E34" i="4"/>
  <c r="E22" i="4"/>
  <c r="C16" i="9" s="1"/>
  <c r="F42" i="3"/>
  <c r="E47" i="3"/>
  <c r="F25" i="3"/>
  <c r="G25" i="3" s="1"/>
  <c r="E30" i="3"/>
  <c r="F9" i="3"/>
  <c r="G9" i="3" s="1"/>
  <c r="E13" i="3"/>
  <c r="L10" i="13"/>
  <c r="L23" i="13" s="1"/>
  <c r="D10" i="14"/>
  <c r="D23" i="14" s="1"/>
  <c r="F22" i="4"/>
  <c r="D16" i="9" s="1"/>
  <c r="C20" i="2"/>
  <c r="P19" i="2"/>
  <c r="N19" i="2"/>
  <c r="L19" i="2"/>
  <c r="J19" i="2"/>
  <c r="H19" i="2"/>
  <c r="H20" i="2" s="1"/>
  <c r="F19" i="2"/>
  <c r="P18" i="2"/>
  <c r="P20" i="2" s="1"/>
  <c r="N18" i="2"/>
  <c r="N20" i="2" s="1"/>
  <c r="L18" i="2"/>
  <c r="L20" i="2" s="1"/>
  <c r="J18" i="2"/>
  <c r="J20" i="2" s="1"/>
  <c r="P67" i="3"/>
  <c r="P83" i="3" s="1"/>
  <c r="D13" i="3"/>
  <c r="I26" i="4"/>
  <c r="G26" i="4"/>
  <c r="I25" i="4"/>
  <c r="G25" i="4"/>
  <c r="I24" i="4"/>
  <c r="I34" i="4" s="1"/>
  <c r="G17" i="9" s="1"/>
  <c r="G24" i="4"/>
  <c r="G34" i="4" s="1"/>
  <c r="E17" i="9" s="1"/>
  <c r="G19" i="4"/>
  <c r="G18" i="4"/>
  <c r="H17" i="4"/>
  <c r="G16" i="4"/>
  <c r="S11" i="4"/>
  <c r="Q11" i="4"/>
  <c r="O11" i="4"/>
  <c r="M11" i="4"/>
  <c r="K11" i="4"/>
  <c r="I11" i="4"/>
  <c r="G11" i="4"/>
  <c r="R10" i="4"/>
  <c r="P10" i="4"/>
  <c r="N10" i="4"/>
  <c r="L10" i="4"/>
  <c r="J10" i="4"/>
  <c r="H10" i="4"/>
  <c r="R9" i="4"/>
  <c r="P9" i="4"/>
  <c r="N9" i="4"/>
  <c r="L9" i="4"/>
  <c r="J9" i="4"/>
  <c r="H9" i="4"/>
  <c r="R8" i="4"/>
  <c r="P8" i="4"/>
  <c r="N8" i="4"/>
  <c r="L8" i="4"/>
  <c r="J8" i="4"/>
  <c r="H8" i="4"/>
  <c r="G15" i="4"/>
  <c r="H14" i="4"/>
  <c r="G13" i="4"/>
  <c r="H12" i="4"/>
  <c r="D17" i="2"/>
  <c r="D39" i="2"/>
  <c r="Q25" i="9"/>
  <c r="Q73" i="3"/>
  <c r="O73" i="3"/>
  <c r="P13" i="9"/>
  <c r="P14" i="9" s="1"/>
  <c r="P8" i="13" s="1"/>
  <c r="N13" i="9"/>
  <c r="N14" i="9" s="1"/>
  <c r="R67" i="3"/>
  <c r="R83" i="3" s="1"/>
  <c r="N67" i="3"/>
  <c r="N83" i="3" s="1"/>
  <c r="F26" i="3"/>
  <c r="F30" i="3" s="1"/>
  <c r="F12" i="3"/>
  <c r="G12" i="3" s="1"/>
  <c r="F10" i="3"/>
  <c r="Q68" i="5"/>
  <c r="O68" i="5"/>
  <c r="M68" i="5"/>
  <c r="P46" i="5"/>
  <c r="P24" i="9" s="1"/>
  <c r="P25" i="9" s="1"/>
  <c r="N46" i="5"/>
  <c r="N24" i="9" s="1"/>
  <c r="P24" i="5"/>
  <c r="P15" i="9" s="1"/>
  <c r="P14" i="14" s="1"/>
  <c r="N24" i="5"/>
  <c r="N15" i="9" s="1"/>
  <c r="O12" i="11" s="1"/>
  <c r="O15" i="8" s="1"/>
  <c r="O25" i="9"/>
  <c r="M25" i="9"/>
  <c r="G26" i="3"/>
  <c r="G30" i="3" s="1"/>
  <c r="D70" i="3" s="1"/>
  <c r="Q8" i="12"/>
  <c r="O14" i="9"/>
  <c r="P8" i="12" s="1"/>
  <c r="Q12" i="9"/>
  <c r="Q14" i="9" s="1"/>
  <c r="M12" i="9"/>
  <c r="M14" i="9" s="1"/>
  <c r="Q67" i="3"/>
  <c r="Q83" i="3" s="1"/>
  <c r="O67" i="3"/>
  <c r="G10" i="3"/>
  <c r="B1" i="10"/>
  <c r="B1" i="11" s="1"/>
  <c r="I17" i="4"/>
  <c r="I16" i="4"/>
  <c r="I14" i="4"/>
  <c r="I13" i="4"/>
  <c r="I12" i="4"/>
  <c r="S15" i="4"/>
  <c r="R15" i="4"/>
  <c r="Q15" i="4"/>
  <c r="P15" i="4"/>
  <c r="O15" i="4"/>
  <c r="N15" i="4"/>
  <c r="M15" i="4"/>
  <c r="L15" i="4"/>
  <c r="K15" i="4"/>
  <c r="J15" i="4"/>
  <c r="I30" i="2"/>
  <c r="H38" i="2"/>
  <c r="I31" i="2"/>
  <c r="H39" i="2"/>
  <c r="I32" i="2"/>
  <c r="J64" i="3"/>
  <c r="I7" i="5"/>
  <c r="J70" i="3"/>
  <c r="J77" i="3"/>
  <c r="J14" i="10"/>
  <c r="C38" i="2"/>
  <c r="C6" i="2" s="1"/>
  <c r="D22" i="4"/>
  <c r="C11" i="10" s="1"/>
  <c r="S14" i="4"/>
  <c r="R14" i="4"/>
  <c r="Q14" i="4"/>
  <c r="P14" i="4"/>
  <c r="O14" i="4"/>
  <c r="N14" i="4"/>
  <c r="M14" i="4"/>
  <c r="L14" i="4"/>
  <c r="K14" i="4"/>
  <c r="J14" i="4"/>
  <c r="S17" i="4"/>
  <c r="R17" i="4"/>
  <c r="Q17" i="4"/>
  <c r="P17" i="4"/>
  <c r="O17" i="4"/>
  <c r="N17" i="4"/>
  <c r="M17" i="4"/>
  <c r="L17" i="4"/>
  <c r="K17" i="4"/>
  <c r="J17" i="4"/>
  <c r="S13" i="4"/>
  <c r="R13" i="4"/>
  <c r="Q13" i="4"/>
  <c r="P13" i="4"/>
  <c r="O13" i="4"/>
  <c r="N13" i="4"/>
  <c r="M13" i="4"/>
  <c r="L13" i="4"/>
  <c r="K13" i="4"/>
  <c r="J13" i="4"/>
  <c r="S16" i="4"/>
  <c r="R16" i="4"/>
  <c r="Q16" i="4"/>
  <c r="P16" i="4"/>
  <c r="O16" i="4"/>
  <c r="N16" i="4"/>
  <c r="M16" i="4"/>
  <c r="L16" i="4"/>
  <c r="K16" i="4"/>
  <c r="J16" i="4"/>
  <c r="S12" i="4"/>
  <c r="R12" i="4"/>
  <c r="Q12" i="4"/>
  <c r="Q22" i="4" s="1"/>
  <c r="O16" i="9" s="1"/>
  <c r="P12" i="4"/>
  <c r="O12" i="4"/>
  <c r="N12" i="4"/>
  <c r="M12" i="4"/>
  <c r="M22" i="4" s="1"/>
  <c r="K16" i="9" s="1"/>
  <c r="L12" i="4"/>
  <c r="K12" i="4"/>
  <c r="J12" i="4"/>
  <c r="G18" i="2"/>
  <c r="F18" i="2"/>
  <c r="P10" i="13" l="1"/>
  <c r="P23" i="13" s="1"/>
  <c r="P10" i="14"/>
  <c r="P23" i="14" s="1"/>
  <c r="H10" i="14"/>
  <c r="H23" i="14" s="1"/>
  <c r="H10" i="13"/>
  <c r="H23" i="13" s="1"/>
  <c r="C19" i="6"/>
  <c r="K22" i="4"/>
  <c r="I16" i="9" s="1"/>
  <c r="I9" i="14" s="1"/>
  <c r="O22" i="4"/>
  <c r="M16" i="9" s="1"/>
  <c r="S22" i="4"/>
  <c r="Q16" i="9" s="1"/>
  <c r="Q9" i="13" s="1"/>
  <c r="L34" i="4"/>
  <c r="J17" i="9" s="1"/>
  <c r="J10" i="14" s="1"/>
  <c r="J23" i="14" s="1"/>
  <c r="P34" i="4"/>
  <c r="N17" i="9" s="1"/>
  <c r="N10" i="14" s="1"/>
  <c r="N23" i="14" s="1"/>
  <c r="N10" i="13"/>
  <c r="N23" i="13" s="1"/>
  <c r="F10" i="14"/>
  <c r="F23" i="14" s="1"/>
  <c r="F10" i="13"/>
  <c r="F23" i="13" s="1"/>
  <c r="H25" i="11"/>
  <c r="E30" i="13"/>
  <c r="E30" i="14"/>
  <c r="F25" i="11"/>
  <c r="F26" i="12"/>
  <c r="B1" i="12"/>
  <c r="F13" i="3"/>
  <c r="C26" i="12"/>
  <c r="C25" i="11"/>
  <c r="B30" i="13"/>
  <c r="B30" i="14"/>
  <c r="C19" i="8"/>
  <c r="N25" i="9"/>
  <c r="R20" i="11"/>
  <c r="R20" i="8"/>
  <c r="J10" i="13"/>
  <c r="J23" i="13" s="1"/>
  <c r="N13" i="12"/>
  <c r="I22" i="4"/>
  <c r="G16" i="9" s="1"/>
  <c r="G9" i="13" s="1"/>
  <c r="G22" i="13" s="1"/>
  <c r="N20" i="11"/>
  <c r="N20" i="8"/>
  <c r="I10" i="14"/>
  <c r="I23" i="14" s="1"/>
  <c r="I10" i="13"/>
  <c r="I23" i="13" s="1"/>
  <c r="J9" i="11"/>
  <c r="J18" i="11" s="1"/>
  <c r="J10" i="12"/>
  <c r="J19" i="12" s="1"/>
  <c r="Q10" i="14"/>
  <c r="Q23" i="14" s="1"/>
  <c r="R9" i="11"/>
  <c r="R18" i="11" s="1"/>
  <c r="Q10" i="13"/>
  <c r="Q23" i="13" s="1"/>
  <c r="R10" i="12"/>
  <c r="R19" i="12" s="1"/>
  <c r="J22" i="4"/>
  <c r="H16" i="9" s="1"/>
  <c r="L22" i="4"/>
  <c r="J16" i="9" s="1"/>
  <c r="J9" i="14" s="1"/>
  <c r="N22" i="4"/>
  <c r="L16" i="9" s="1"/>
  <c r="P22" i="4"/>
  <c r="N16" i="9" s="1"/>
  <c r="N19" i="9" s="1"/>
  <c r="N26" i="9" s="1"/>
  <c r="R22" i="4"/>
  <c r="P16" i="9" s="1"/>
  <c r="O13" i="12"/>
  <c r="G13" i="3"/>
  <c r="D64" i="3" s="1"/>
  <c r="M14" i="13"/>
  <c r="O34" i="4"/>
  <c r="M17" i="9" s="1"/>
  <c r="A1" i="13"/>
  <c r="A1" i="14" s="1"/>
  <c r="O10" i="13"/>
  <c r="O23" i="13" s="1"/>
  <c r="P10" i="12"/>
  <c r="P19" i="12" s="1"/>
  <c r="O10" i="14"/>
  <c r="O23" i="14" s="1"/>
  <c r="P9" i="11"/>
  <c r="P18" i="11" s="1"/>
  <c r="K10" i="13"/>
  <c r="K23" i="13" s="1"/>
  <c r="L10" i="12"/>
  <c r="L19" i="12" s="1"/>
  <c r="K10" i="14"/>
  <c r="K23" i="14" s="1"/>
  <c r="L9" i="11"/>
  <c r="L18" i="11" s="1"/>
  <c r="N14" i="14"/>
  <c r="P8" i="14"/>
  <c r="P7" i="11"/>
  <c r="P16" i="8" s="1"/>
  <c r="O8" i="13"/>
  <c r="Q7" i="11"/>
  <c r="Q16" i="8" s="1"/>
  <c r="O83" i="3"/>
  <c r="O8" i="14"/>
  <c r="Q20" i="8"/>
  <c r="N14" i="13"/>
  <c r="P14" i="13"/>
  <c r="Q12" i="11"/>
  <c r="Q15" i="8" s="1"/>
  <c r="Q13" i="12"/>
  <c r="Q14" i="13"/>
  <c r="Q14" i="14"/>
  <c r="R13" i="12"/>
  <c r="G9" i="11"/>
  <c r="G18" i="11" s="1"/>
  <c r="G10" i="12"/>
  <c r="G19" i="12" s="1"/>
  <c r="K9" i="11"/>
  <c r="K18" i="11" s="1"/>
  <c r="K10" i="12"/>
  <c r="K19" i="12" s="1"/>
  <c r="O9" i="11"/>
  <c r="O18" i="11" s="1"/>
  <c r="E9" i="11"/>
  <c r="E18" i="11" s="1"/>
  <c r="E10" i="12"/>
  <c r="E19" i="12" s="1"/>
  <c r="I9" i="11"/>
  <c r="I18" i="11" s="1"/>
  <c r="I10" i="12"/>
  <c r="I19" i="12" s="1"/>
  <c r="M9" i="11"/>
  <c r="M18" i="11" s="1"/>
  <c r="M10" i="12"/>
  <c r="M19" i="12" s="1"/>
  <c r="Q9" i="11"/>
  <c r="Q18" i="11" s="1"/>
  <c r="Q10" i="12"/>
  <c r="Q19" i="12" s="1"/>
  <c r="O14" i="14"/>
  <c r="P12" i="11"/>
  <c r="P15" i="8" s="1"/>
  <c r="O14" i="13"/>
  <c r="P13" i="12"/>
  <c r="E10" i="13"/>
  <c r="E23" i="13" s="1"/>
  <c r="F9" i="11"/>
  <c r="F18" i="11" s="1"/>
  <c r="F10" i="12"/>
  <c r="F19" i="12" s="1"/>
  <c r="E10" i="14"/>
  <c r="E23" i="14" s="1"/>
  <c r="F47" i="3"/>
  <c r="G42" i="3"/>
  <c r="G47" i="3" s="1"/>
  <c r="D77" i="3" s="1"/>
  <c r="E77" i="3" s="1"/>
  <c r="F77" i="3" s="1"/>
  <c r="G77" i="3" s="1"/>
  <c r="H77" i="3" s="1"/>
  <c r="I77" i="3" s="1"/>
  <c r="C17" i="9"/>
  <c r="D14" i="10"/>
  <c r="C41" i="2"/>
  <c r="G10" i="13"/>
  <c r="G23" i="13" s="1"/>
  <c r="G10" i="14"/>
  <c r="G23" i="14" s="1"/>
  <c r="H9" i="11"/>
  <c r="H18" i="11" s="1"/>
  <c r="H10" i="12"/>
  <c r="H19" i="12" s="1"/>
  <c r="D9" i="13"/>
  <c r="D22" i="13" s="1"/>
  <c r="D9" i="14"/>
  <c r="D22" i="14" s="1"/>
  <c r="E8" i="11"/>
  <c r="E17" i="11" s="1"/>
  <c r="E9" i="12"/>
  <c r="E18" i="12" s="1"/>
  <c r="C9" i="13"/>
  <c r="C22" i="13" s="1"/>
  <c r="C9" i="14"/>
  <c r="C22" i="14" s="1"/>
  <c r="D8" i="11"/>
  <c r="D17" i="11" s="1"/>
  <c r="D9" i="12"/>
  <c r="D18" i="12" s="1"/>
  <c r="G32" i="2"/>
  <c r="F40" i="2"/>
  <c r="H22" i="4"/>
  <c r="F16" i="9" s="1"/>
  <c r="G22" i="4"/>
  <c r="E16" i="9" s="1"/>
  <c r="R7" i="11"/>
  <c r="R16" i="8" s="1"/>
  <c r="Q8" i="13"/>
  <c r="Q8" i="14"/>
  <c r="R8" i="12"/>
  <c r="C21" i="9"/>
  <c r="E70" i="3"/>
  <c r="F32" i="3"/>
  <c r="G32" i="3" s="1"/>
  <c r="F36" i="3"/>
  <c r="F33" i="3"/>
  <c r="G33" i="3" s="1"/>
  <c r="F35" i="3"/>
  <c r="G35" i="3" s="1"/>
  <c r="F37" i="3"/>
  <c r="G37" i="3" s="1"/>
  <c r="M8" i="13"/>
  <c r="N8" i="12"/>
  <c r="N7" i="11"/>
  <c r="N16" i="8" s="1"/>
  <c r="M8" i="14"/>
  <c r="N8" i="14"/>
  <c r="O7" i="11"/>
  <c r="O16" i="8" s="1"/>
  <c r="N8" i="13"/>
  <c r="O8" i="12"/>
  <c r="E64" i="3"/>
  <c r="C12" i="9"/>
  <c r="F15" i="3"/>
  <c r="G15" i="3" s="1"/>
  <c r="F19" i="3"/>
  <c r="F16" i="3"/>
  <c r="G16" i="3" s="1"/>
  <c r="F18" i="3"/>
  <c r="G18" i="3" s="1"/>
  <c r="F20" i="3"/>
  <c r="G20" i="3" s="1"/>
  <c r="K14" i="10"/>
  <c r="J15" i="10"/>
  <c r="K77" i="3"/>
  <c r="K70" i="3"/>
  <c r="I21" i="9"/>
  <c r="J7" i="5"/>
  <c r="K64" i="3"/>
  <c r="I12" i="9"/>
  <c r="J32" i="2"/>
  <c r="I40" i="2"/>
  <c r="J31" i="2"/>
  <c r="I39" i="2"/>
  <c r="H6" i="2"/>
  <c r="J30" i="2"/>
  <c r="I38" i="2"/>
  <c r="D9" i="6"/>
  <c r="H9" i="13"/>
  <c r="H9" i="14"/>
  <c r="I8" i="11"/>
  <c r="I9" i="12"/>
  <c r="I9" i="13"/>
  <c r="J8" i="11"/>
  <c r="J9" i="13"/>
  <c r="K8" i="11"/>
  <c r="K9" i="13"/>
  <c r="K9" i="14"/>
  <c r="L8" i="11"/>
  <c r="L9" i="12"/>
  <c r="L9" i="13"/>
  <c r="L9" i="14"/>
  <c r="M8" i="11"/>
  <c r="M9" i="12"/>
  <c r="M19" i="9"/>
  <c r="M26" i="9" s="1"/>
  <c r="M9" i="13"/>
  <c r="M9" i="14"/>
  <c r="N8" i="11"/>
  <c r="N9" i="12"/>
  <c r="N9" i="13"/>
  <c r="O8" i="11"/>
  <c r="O19" i="9"/>
  <c r="O26" i="9" s="1"/>
  <c r="O9" i="13"/>
  <c r="O9" i="14"/>
  <c r="P8" i="11"/>
  <c r="P9" i="12"/>
  <c r="P19" i="9"/>
  <c r="P26" i="9" s="1"/>
  <c r="P9" i="13"/>
  <c r="P9" i="14"/>
  <c r="Q8" i="11"/>
  <c r="Q9" i="12"/>
  <c r="Q19" i="9"/>
  <c r="Q26" i="9" s="1"/>
  <c r="Q9" i="14"/>
  <c r="R9" i="12"/>
  <c r="G9" i="14"/>
  <c r="G22" i="14" s="1"/>
  <c r="H9" i="12"/>
  <c r="H18" i="12" s="1"/>
  <c r="E19" i="6"/>
  <c r="B29" i="13"/>
  <c r="B29" i="14"/>
  <c r="C24" i="11"/>
  <c r="C25" i="12"/>
  <c r="C18" i="8"/>
  <c r="D11" i="10"/>
  <c r="C12" i="10"/>
  <c r="E39" i="2"/>
  <c r="F39" i="2"/>
  <c r="G39" i="2"/>
  <c r="C6" i="9" l="1"/>
  <c r="C7" i="9" s="1"/>
  <c r="C46" i="2"/>
  <c r="C47" i="2" s="1"/>
  <c r="H8" i="11"/>
  <c r="H17" i="11" s="1"/>
  <c r="R8" i="11"/>
  <c r="R17" i="11" s="1"/>
  <c r="O9" i="12"/>
  <c r="N9" i="14"/>
  <c r="K9" i="12"/>
  <c r="J9" i="12"/>
  <c r="O10" i="12"/>
  <c r="O19" i="12" s="1"/>
  <c r="M10" i="13"/>
  <c r="M23" i="13" s="1"/>
  <c r="M10" i="14"/>
  <c r="M23" i="14" s="1"/>
  <c r="N10" i="12"/>
  <c r="N19" i="12" s="1"/>
  <c r="N9" i="11"/>
  <c r="N18" i="11" s="1"/>
  <c r="E29" i="13"/>
  <c r="E29" i="14"/>
  <c r="F24" i="11"/>
  <c r="F25" i="12"/>
  <c r="E9" i="13"/>
  <c r="E22" i="13" s="1"/>
  <c r="F8" i="11"/>
  <c r="F17" i="11" s="1"/>
  <c r="E9" i="14"/>
  <c r="E22" i="14" s="1"/>
  <c r="F9" i="12"/>
  <c r="F18" i="12" s="1"/>
  <c r="C10" i="13"/>
  <c r="C23" i="13" s="1"/>
  <c r="C10" i="14"/>
  <c r="C23" i="14" s="1"/>
  <c r="D9" i="11"/>
  <c r="D18" i="11" s="1"/>
  <c r="D10" i="12"/>
  <c r="D19" i="12" s="1"/>
  <c r="F50" i="3"/>
  <c r="G50" i="3" s="1"/>
  <c r="F52" i="3"/>
  <c r="G52" i="3" s="1"/>
  <c r="F53" i="3"/>
  <c r="F54" i="3"/>
  <c r="G54" i="3" s="1"/>
  <c r="F49" i="3"/>
  <c r="G49" i="3" s="1"/>
  <c r="F9" i="13"/>
  <c r="F22" i="13" s="1"/>
  <c r="F9" i="14"/>
  <c r="F22" i="14" s="1"/>
  <c r="G8" i="11"/>
  <c r="G17" i="11" s="1"/>
  <c r="G9" i="12"/>
  <c r="G18" i="12" s="1"/>
  <c r="H32" i="2"/>
  <c r="H40" i="2" s="1"/>
  <c r="H41" i="2" s="1"/>
  <c r="H11" i="2" s="1"/>
  <c r="G40" i="2"/>
  <c r="E14" i="10"/>
  <c r="D15" i="10"/>
  <c r="F38" i="3"/>
  <c r="G38" i="3" s="1"/>
  <c r="G36" i="3"/>
  <c r="D21" i="9"/>
  <c r="F70" i="3"/>
  <c r="D72" i="3"/>
  <c r="E72" i="3" s="1"/>
  <c r="F72" i="3" s="1"/>
  <c r="G72" i="3" s="1"/>
  <c r="H72" i="3" s="1"/>
  <c r="I72" i="3" s="1"/>
  <c r="J72" i="3" s="1"/>
  <c r="K72" i="3" s="1"/>
  <c r="L72" i="3" s="1"/>
  <c r="M72" i="3" s="1"/>
  <c r="D66" i="3"/>
  <c r="F64" i="3"/>
  <c r="D12" i="9"/>
  <c r="F21" i="3"/>
  <c r="G21" i="3" s="1"/>
  <c r="G19" i="3"/>
  <c r="D65" i="3"/>
  <c r="C22" i="8"/>
  <c r="I6" i="2"/>
  <c r="I41" i="2"/>
  <c r="K30" i="2"/>
  <c r="J38" i="2"/>
  <c r="H6" i="9"/>
  <c r="H7" i="9" s="1"/>
  <c r="H46" i="2"/>
  <c r="K31" i="2"/>
  <c r="J39" i="2"/>
  <c r="K32" i="2"/>
  <c r="J40" i="2"/>
  <c r="L64" i="3"/>
  <c r="J12" i="9"/>
  <c r="K7" i="5"/>
  <c r="L70" i="3"/>
  <c r="J21" i="9"/>
  <c r="L77" i="3"/>
  <c r="L14" i="10"/>
  <c r="K15" i="10"/>
  <c r="D9" i="10"/>
  <c r="D24" i="6"/>
  <c r="C22" i="6" s="1"/>
  <c r="D5" i="11"/>
  <c r="C6" i="13"/>
  <c r="R18" i="12"/>
  <c r="Q22" i="14"/>
  <c r="Q22" i="13"/>
  <c r="Q18" i="12"/>
  <c r="Q17" i="11"/>
  <c r="P22" i="14"/>
  <c r="P22" i="13"/>
  <c r="P18" i="12"/>
  <c r="P17" i="11"/>
  <c r="O22" i="14"/>
  <c r="O22" i="13"/>
  <c r="O18" i="12"/>
  <c r="O17" i="11"/>
  <c r="N22" i="14"/>
  <c r="N22" i="13"/>
  <c r="N18" i="12"/>
  <c r="N17" i="11"/>
  <c r="M22" i="14"/>
  <c r="M22" i="13"/>
  <c r="M18" i="12"/>
  <c r="M17" i="11"/>
  <c r="L22" i="14"/>
  <c r="L22" i="13"/>
  <c r="L18" i="12"/>
  <c r="L17" i="11"/>
  <c r="K22" i="14"/>
  <c r="K22" i="13"/>
  <c r="K18" i="12"/>
  <c r="K17" i="11"/>
  <c r="J22" i="14"/>
  <c r="J22" i="13"/>
  <c r="J18" i="12"/>
  <c r="J17" i="11"/>
  <c r="I22" i="14"/>
  <c r="I22" i="13"/>
  <c r="I18" i="12"/>
  <c r="I17" i="11"/>
  <c r="H22" i="14"/>
  <c r="H22" i="13"/>
  <c r="E11" i="10"/>
  <c r="D12" i="10"/>
  <c r="H24" i="11"/>
  <c r="G29" i="13"/>
  <c r="G29" i="14"/>
  <c r="H25" i="12"/>
  <c r="C21" i="5" l="1"/>
  <c r="C24" i="5" s="1"/>
  <c r="C65" i="5"/>
  <c r="C68" i="5" s="1"/>
  <c r="C8" i="2" s="1"/>
  <c r="C43" i="5"/>
  <c r="C46" i="5" s="1"/>
  <c r="C24" i="9" s="1"/>
  <c r="D6" i="8"/>
  <c r="C6" i="14"/>
  <c r="D6" i="12"/>
  <c r="C48" i="2"/>
  <c r="E7" i="8"/>
  <c r="H47" i="2"/>
  <c r="D71" i="3"/>
  <c r="C22" i="9" s="1"/>
  <c r="C23" i="9" s="1"/>
  <c r="C25" i="9" s="1"/>
  <c r="D79" i="3"/>
  <c r="E79" i="3" s="1"/>
  <c r="F79" i="3" s="1"/>
  <c r="G79" i="3" s="1"/>
  <c r="H79" i="3" s="1"/>
  <c r="I79" i="3" s="1"/>
  <c r="J79" i="3" s="1"/>
  <c r="K79" i="3" s="1"/>
  <c r="L79" i="3" s="1"/>
  <c r="M79" i="3" s="1"/>
  <c r="G53" i="3"/>
  <c r="F55" i="3"/>
  <c r="G55" i="3" s="1"/>
  <c r="F14" i="10"/>
  <c r="E15" i="10"/>
  <c r="G39" i="3"/>
  <c r="E71" i="3"/>
  <c r="G70" i="3"/>
  <c r="E21" i="9"/>
  <c r="G22" i="3"/>
  <c r="G64" i="3"/>
  <c r="E12" i="9"/>
  <c r="C13" i="9"/>
  <c r="C14" i="9" s="1"/>
  <c r="E65" i="3"/>
  <c r="D67" i="3"/>
  <c r="E66" i="3"/>
  <c r="F66" i="3" s="1"/>
  <c r="G66" i="3" s="1"/>
  <c r="H66" i="3" s="1"/>
  <c r="I66" i="3" s="1"/>
  <c r="J66" i="3" s="1"/>
  <c r="K66" i="3" s="1"/>
  <c r="L66" i="3" s="1"/>
  <c r="M66" i="3" s="1"/>
  <c r="D6" i="6"/>
  <c r="I11" i="2"/>
  <c r="M14" i="10"/>
  <c r="M15" i="10" s="1"/>
  <c r="L15" i="10"/>
  <c r="M77" i="3"/>
  <c r="M70" i="3"/>
  <c r="K21" i="9"/>
  <c r="L7" i="5"/>
  <c r="M64" i="3"/>
  <c r="K12" i="9"/>
  <c r="L32" i="2"/>
  <c r="K40" i="2"/>
  <c r="L31" i="2"/>
  <c r="K39" i="2"/>
  <c r="H21" i="5"/>
  <c r="H24" i="5" s="1"/>
  <c r="H15" i="9" s="1"/>
  <c r="H43" i="5"/>
  <c r="H65" i="5"/>
  <c r="H68" i="5" s="1"/>
  <c r="H8" i="2" s="1"/>
  <c r="I6" i="8"/>
  <c r="I9" i="10"/>
  <c r="H48" i="2"/>
  <c r="J7" i="8"/>
  <c r="J6" i="2"/>
  <c r="J41" i="2"/>
  <c r="L30" i="2"/>
  <c r="K38" i="2"/>
  <c r="I6" i="9"/>
  <c r="I7" i="9" s="1"/>
  <c r="I46" i="2"/>
  <c r="I47" i="2" s="1"/>
  <c r="C27" i="11"/>
  <c r="C28" i="12"/>
  <c r="E22" i="6"/>
  <c r="B32" i="13"/>
  <c r="B32" i="14"/>
  <c r="C15" i="9"/>
  <c r="F11" i="10"/>
  <c r="E12" i="10"/>
  <c r="D7" i="6" l="1"/>
  <c r="D73" i="3"/>
  <c r="D83" i="3" s="1"/>
  <c r="D78" i="3"/>
  <c r="G56" i="3"/>
  <c r="E32" i="13"/>
  <c r="F28" i="12"/>
  <c r="E32" i="14"/>
  <c r="F27" i="11"/>
  <c r="D80" i="3"/>
  <c r="E78" i="3"/>
  <c r="F15" i="10"/>
  <c r="G14" i="10"/>
  <c r="D8" i="6"/>
  <c r="D10" i="6" s="1"/>
  <c r="D11" i="6" s="1"/>
  <c r="D12" i="6" s="1"/>
  <c r="D13" i="6" s="1"/>
  <c r="D14" i="6" s="1"/>
  <c r="C21" i="6" s="1"/>
  <c r="E27" i="11"/>
  <c r="E28" i="12"/>
  <c r="D32" i="13"/>
  <c r="D32" i="14"/>
  <c r="H70" i="3"/>
  <c r="F21" i="9"/>
  <c r="D22" i="9"/>
  <c r="D23" i="9" s="1"/>
  <c r="F71" i="3"/>
  <c r="E73" i="3"/>
  <c r="D13" i="9"/>
  <c r="D14" i="9" s="1"/>
  <c r="F65" i="3"/>
  <c r="E67" i="3"/>
  <c r="F12" i="9"/>
  <c r="H64" i="3"/>
  <c r="C8" i="13"/>
  <c r="D8" i="12"/>
  <c r="C8" i="14"/>
  <c r="D7" i="11"/>
  <c r="D16" i="8" s="1"/>
  <c r="L38" i="2"/>
  <c r="M30" i="2"/>
  <c r="L39" i="2"/>
  <c r="M31" i="2"/>
  <c r="L40" i="2"/>
  <c r="M32" i="2"/>
  <c r="J11" i="2"/>
  <c r="I32" i="5"/>
  <c r="M27" i="11"/>
  <c r="M28" i="12"/>
  <c r="L32" i="13"/>
  <c r="L32" i="14"/>
  <c r="I21" i="5"/>
  <c r="I24" i="5" s="1"/>
  <c r="I15" i="9" s="1"/>
  <c r="I43" i="5"/>
  <c r="I65" i="5"/>
  <c r="I68" i="5" s="1"/>
  <c r="I8" i="2" s="1"/>
  <c r="J6" i="8"/>
  <c r="J9" i="10"/>
  <c r="I48" i="2"/>
  <c r="K7" i="8"/>
  <c r="J5" i="11"/>
  <c r="J6" i="12"/>
  <c r="I6" i="13"/>
  <c r="I6" i="14"/>
  <c r="K6" i="2"/>
  <c r="K41" i="2"/>
  <c r="L6" i="2"/>
  <c r="L41" i="2"/>
  <c r="J6" i="9"/>
  <c r="J7" i="9" s="1"/>
  <c r="J46" i="2"/>
  <c r="J47" i="2" s="1"/>
  <c r="L12" i="9"/>
  <c r="L21" i="9"/>
  <c r="D12" i="11"/>
  <c r="D15" i="8" s="1"/>
  <c r="D13" i="12"/>
  <c r="C14" i="13"/>
  <c r="C14" i="14"/>
  <c r="H27" i="11"/>
  <c r="G32" i="14"/>
  <c r="G32" i="13"/>
  <c r="H28" i="12"/>
  <c r="G11" i="10"/>
  <c r="F12" i="10"/>
  <c r="D74" i="3" l="1"/>
  <c r="D68" i="3"/>
  <c r="C7" i="2"/>
  <c r="C9" i="2" s="1"/>
  <c r="C9" i="9" s="1"/>
  <c r="C10" i="9" s="1"/>
  <c r="D81" i="3"/>
  <c r="D7" i="12"/>
  <c r="D14" i="8"/>
  <c r="H14" i="10"/>
  <c r="G15" i="10"/>
  <c r="F78" i="3"/>
  <c r="E80" i="3"/>
  <c r="D7" i="2" s="1"/>
  <c r="I78" i="3"/>
  <c r="G71" i="3"/>
  <c r="E22" i="9"/>
  <c r="E23" i="9" s="1"/>
  <c r="F73" i="3"/>
  <c r="I70" i="3"/>
  <c r="G21" i="9"/>
  <c r="E7" i="11"/>
  <c r="E16" i="8" s="1"/>
  <c r="D8" i="14"/>
  <c r="E8" i="12"/>
  <c r="D8" i="13"/>
  <c r="I64" i="3"/>
  <c r="G12" i="9"/>
  <c r="E13" i="9"/>
  <c r="E14" i="9" s="1"/>
  <c r="G65" i="3"/>
  <c r="F67" i="3"/>
  <c r="N32" i="2"/>
  <c r="M40" i="2"/>
  <c r="N31" i="2"/>
  <c r="M39" i="2"/>
  <c r="N30" i="2"/>
  <c r="M38" i="2"/>
  <c r="L11" i="2"/>
  <c r="K11" i="2"/>
  <c r="C26" i="11"/>
  <c r="C27" i="12"/>
  <c r="C29" i="12" s="1"/>
  <c r="C32" i="12" s="1"/>
  <c r="E21" i="6"/>
  <c r="E23" i="6" s="1"/>
  <c r="C23" i="6"/>
  <c r="D27" i="6" s="1"/>
  <c r="B31" i="13"/>
  <c r="B31" i="14"/>
  <c r="B33" i="14" s="1"/>
  <c r="B36" i="14" s="1"/>
  <c r="B49" i="14" s="1"/>
  <c r="M26" i="11"/>
  <c r="M27" i="12"/>
  <c r="L31" i="13"/>
  <c r="L31" i="14"/>
  <c r="J21" i="5"/>
  <c r="J24" i="5" s="1"/>
  <c r="J15" i="9" s="1"/>
  <c r="J43" i="5"/>
  <c r="J65" i="5"/>
  <c r="J68" i="5" s="1"/>
  <c r="J8" i="2" s="1"/>
  <c r="K6" i="8"/>
  <c r="K9" i="10"/>
  <c r="J48" i="2"/>
  <c r="L7" i="8"/>
  <c r="K5" i="11"/>
  <c r="K6" i="12"/>
  <c r="J6" i="13"/>
  <c r="J6" i="14"/>
  <c r="L6" i="9"/>
  <c r="L7" i="9" s="1"/>
  <c r="L47" i="2"/>
  <c r="K6" i="9"/>
  <c r="K7" i="9" s="1"/>
  <c r="K46" i="2"/>
  <c r="K47" i="2" s="1"/>
  <c r="J32" i="5"/>
  <c r="I46" i="5"/>
  <c r="I24" i="9" s="1"/>
  <c r="B48" i="14"/>
  <c r="H26" i="11"/>
  <c r="H27" i="12"/>
  <c r="G31" i="13"/>
  <c r="G31" i="14"/>
  <c r="C44" i="12"/>
  <c r="C45" i="12"/>
  <c r="H11" i="10"/>
  <c r="G12" i="10"/>
  <c r="C7" i="14" l="1"/>
  <c r="D30" i="6"/>
  <c r="C24" i="7" s="1"/>
  <c r="C30" i="7" s="1"/>
  <c r="C7" i="13"/>
  <c r="D6" i="11"/>
  <c r="D29" i="6"/>
  <c r="C15" i="7" s="1"/>
  <c r="D28" i="6"/>
  <c r="C6" i="7" s="1"/>
  <c r="D7" i="7" s="1"/>
  <c r="E83" i="3"/>
  <c r="F27" i="12"/>
  <c r="E31" i="14"/>
  <c r="F26" i="11"/>
  <c r="E31" i="13"/>
  <c r="G78" i="3"/>
  <c r="F80" i="3"/>
  <c r="E7" i="2" s="1"/>
  <c r="I14" i="10"/>
  <c r="I15" i="10" s="1"/>
  <c r="H15" i="10"/>
  <c r="E26" i="11"/>
  <c r="E27" i="12"/>
  <c r="D31" i="13"/>
  <c r="D31" i="14"/>
  <c r="J78" i="3"/>
  <c r="I80" i="3"/>
  <c r="H7" i="2" s="1"/>
  <c r="H9" i="2" s="1"/>
  <c r="F22" i="9"/>
  <c r="F23" i="9" s="1"/>
  <c r="H71" i="3"/>
  <c r="G73" i="3"/>
  <c r="H21" i="9"/>
  <c r="F13" i="9"/>
  <c r="F14" i="9" s="1"/>
  <c r="H65" i="3"/>
  <c r="G67" i="3"/>
  <c r="H12" i="9"/>
  <c r="E8" i="14"/>
  <c r="E8" i="13"/>
  <c r="F7" i="11"/>
  <c r="F16" i="8" s="1"/>
  <c r="F8" i="12"/>
  <c r="D31" i="6"/>
  <c r="C29" i="7"/>
  <c r="M6" i="2"/>
  <c r="M41" i="2"/>
  <c r="O30" i="2"/>
  <c r="N38" i="2"/>
  <c r="O31" i="2"/>
  <c r="N39" i="2"/>
  <c r="O32" i="2"/>
  <c r="N40" i="2"/>
  <c r="H12" i="10"/>
  <c r="I11" i="10"/>
  <c r="K32" i="5"/>
  <c r="J46" i="5"/>
  <c r="J24" i="9" s="1"/>
  <c r="J14" i="14" s="1"/>
  <c r="K21" i="5"/>
  <c r="K24" i="5" s="1"/>
  <c r="K15" i="9" s="1"/>
  <c r="K43" i="5"/>
  <c r="K65" i="5"/>
  <c r="K68" i="5" s="1"/>
  <c r="K8" i="2" s="1"/>
  <c r="L6" i="8"/>
  <c r="L9" i="10"/>
  <c r="K48" i="2"/>
  <c r="M7" i="8"/>
  <c r="L5" i="11"/>
  <c r="L6" i="12"/>
  <c r="K6" i="13"/>
  <c r="K6" i="14"/>
  <c r="L21" i="5"/>
  <c r="L24" i="5" s="1"/>
  <c r="L15" i="9" s="1"/>
  <c r="L43" i="5"/>
  <c r="L65" i="5"/>
  <c r="L68" i="5" s="1"/>
  <c r="L8" i="2" s="1"/>
  <c r="M6" i="8"/>
  <c r="L48" i="2"/>
  <c r="M5" i="11"/>
  <c r="M6" i="12"/>
  <c r="L6" i="13"/>
  <c r="L6" i="14"/>
  <c r="I14" i="13"/>
  <c r="J13" i="12"/>
  <c r="J12" i="11"/>
  <c r="J15" i="8" s="1"/>
  <c r="I14" i="14"/>
  <c r="C23" i="11"/>
  <c r="D16" i="7"/>
  <c r="C20" i="7"/>
  <c r="C21" i="7"/>
  <c r="D17" i="7" s="1"/>
  <c r="D18" i="7" s="1"/>
  <c r="B28" i="13"/>
  <c r="B33" i="13" s="1"/>
  <c r="B36" i="13" s="1"/>
  <c r="C11" i="7"/>
  <c r="C9" i="8"/>
  <c r="C23" i="10"/>
  <c r="C28" i="10" s="1"/>
  <c r="C10" i="8"/>
  <c r="C12" i="7" l="1"/>
  <c r="D8" i="7" s="1"/>
  <c r="C34" i="13" s="1"/>
  <c r="D25" i="7"/>
  <c r="C18" i="9" s="1"/>
  <c r="J14" i="13"/>
  <c r="K13" i="12"/>
  <c r="D26" i="7"/>
  <c r="D27" i="7" s="1"/>
  <c r="E25" i="7" s="1"/>
  <c r="E26" i="7" s="1"/>
  <c r="E27" i="7" s="1"/>
  <c r="F25" i="7" s="1"/>
  <c r="F26" i="7" s="1"/>
  <c r="F27" i="7" s="1"/>
  <c r="F83" i="3"/>
  <c r="K12" i="11"/>
  <c r="K15" i="8" s="1"/>
  <c r="G80" i="3"/>
  <c r="F7" i="2" s="1"/>
  <c r="H78" i="3"/>
  <c r="H80" i="3" s="1"/>
  <c r="G7" i="2" s="1"/>
  <c r="G83" i="3"/>
  <c r="K78" i="3"/>
  <c r="J80" i="3"/>
  <c r="I7" i="2" s="1"/>
  <c r="I9" i="2" s="1"/>
  <c r="H7" i="14"/>
  <c r="I7" i="12"/>
  <c r="H9" i="9"/>
  <c r="H10" i="9" s="1"/>
  <c r="I6" i="11"/>
  <c r="H7" i="13"/>
  <c r="I14" i="8"/>
  <c r="I71" i="3"/>
  <c r="G22" i="9"/>
  <c r="G23" i="9" s="1"/>
  <c r="H73" i="3"/>
  <c r="F8" i="13"/>
  <c r="G7" i="11"/>
  <c r="G16" i="8" s="1"/>
  <c r="G8" i="12"/>
  <c r="F8" i="14"/>
  <c r="I65" i="3"/>
  <c r="G13" i="9"/>
  <c r="G14" i="9" s="1"/>
  <c r="H67" i="3"/>
  <c r="P32" i="2"/>
  <c r="O40" i="2"/>
  <c r="P31" i="2"/>
  <c r="O39" i="2"/>
  <c r="N6" i="2"/>
  <c r="N41" i="2"/>
  <c r="P30" i="2"/>
  <c r="O38" i="2"/>
  <c r="M6" i="9"/>
  <c r="M7" i="9" s="1"/>
  <c r="M47" i="2"/>
  <c r="M9" i="2"/>
  <c r="M11" i="2"/>
  <c r="L32" i="5"/>
  <c r="L46" i="5" s="1"/>
  <c r="L24" i="9" s="1"/>
  <c r="K46" i="5"/>
  <c r="K24" i="9" s="1"/>
  <c r="J11" i="10"/>
  <c r="I12" i="10"/>
  <c r="D29" i="11"/>
  <c r="D17" i="8" s="1"/>
  <c r="D9" i="7"/>
  <c r="B48" i="13"/>
  <c r="B49" i="13"/>
  <c r="E16" i="7"/>
  <c r="E17" i="7" s="1"/>
  <c r="E18" i="7" s="1"/>
  <c r="C28" i="11"/>
  <c r="C30" i="11" s="1"/>
  <c r="C18" i="10"/>
  <c r="C21" i="10" s="1"/>
  <c r="C29" i="10" s="1"/>
  <c r="C12" i="8"/>
  <c r="C24" i="8" s="1"/>
  <c r="G25" i="7"/>
  <c r="G26" i="7" s="1"/>
  <c r="G27" i="7"/>
  <c r="D10" i="11" l="1"/>
  <c r="C11" i="13"/>
  <c r="B45" i="13" s="1"/>
  <c r="C19" i="9"/>
  <c r="C26" i="9" s="1"/>
  <c r="C27" i="9" s="1"/>
  <c r="D11" i="12"/>
  <c r="D21" i="12" s="1"/>
  <c r="C11" i="14"/>
  <c r="C34" i="14"/>
  <c r="D30" i="12"/>
  <c r="H83" i="3"/>
  <c r="L78" i="3"/>
  <c r="K80" i="3"/>
  <c r="J7" i="2" s="1"/>
  <c r="J9" i="2" s="1"/>
  <c r="I7" i="14"/>
  <c r="J7" i="12"/>
  <c r="I9" i="9"/>
  <c r="I10" i="9" s="1"/>
  <c r="J6" i="11"/>
  <c r="I7" i="13"/>
  <c r="J14" i="8"/>
  <c r="J71" i="3"/>
  <c r="H22" i="9"/>
  <c r="H23" i="9" s="1"/>
  <c r="I73" i="3"/>
  <c r="J65" i="3"/>
  <c r="H13" i="9"/>
  <c r="H14" i="9" s="1"/>
  <c r="I67" i="3"/>
  <c r="H7" i="11"/>
  <c r="H16" i="8" s="1"/>
  <c r="G8" i="14"/>
  <c r="G8" i="13"/>
  <c r="H8" i="12"/>
  <c r="M7" i="14"/>
  <c r="N6" i="11"/>
  <c r="N7" i="12"/>
  <c r="M7" i="13"/>
  <c r="M9" i="9"/>
  <c r="N14" i="8"/>
  <c r="N22" i="8" s="1"/>
  <c r="N6" i="8"/>
  <c r="N12" i="8" s="1"/>
  <c r="M48" i="2"/>
  <c r="N5" i="11"/>
  <c r="N6" i="12"/>
  <c r="M6" i="13"/>
  <c r="M6" i="14"/>
  <c r="M12" i="14" s="1"/>
  <c r="M16" i="14" s="1"/>
  <c r="M10" i="9"/>
  <c r="M27" i="9" s="1"/>
  <c r="O6" i="2"/>
  <c r="O41" i="2"/>
  <c r="Q30" i="2"/>
  <c r="Q38" i="2" s="1"/>
  <c r="P38" i="2"/>
  <c r="N6" i="9"/>
  <c r="N7" i="9" s="1"/>
  <c r="N47" i="2"/>
  <c r="N9" i="2"/>
  <c r="N11" i="2"/>
  <c r="Q31" i="2"/>
  <c r="Q39" i="2" s="1"/>
  <c r="P39" i="2"/>
  <c r="Q32" i="2"/>
  <c r="Q40" i="2" s="1"/>
  <c r="P40" i="2"/>
  <c r="K11" i="10"/>
  <c r="J12" i="10"/>
  <c r="L21" i="8"/>
  <c r="K21" i="8"/>
  <c r="K14" i="13"/>
  <c r="L13" i="12"/>
  <c r="L12" i="11"/>
  <c r="L15" i="8" s="1"/>
  <c r="K14" i="14"/>
  <c r="L14" i="13"/>
  <c r="M13" i="12"/>
  <c r="M12" i="11"/>
  <c r="M15" i="8" s="1"/>
  <c r="L14" i="14"/>
  <c r="C7" i="10"/>
  <c r="C10" i="10" s="1"/>
  <c r="C16" i="10" s="1"/>
  <c r="C30" i="10" s="1"/>
  <c r="D8" i="8"/>
  <c r="D12" i="8" s="1"/>
  <c r="C42" i="11"/>
  <c r="C43" i="11"/>
  <c r="D23" i="10"/>
  <c r="F16" i="7"/>
  <c r="F17" i="7" s="1"/>
  <c r="F18" i="7" s="1"/>
  <c r="C28" i="9"/>
  <c r="C25" i="14"/>
  <c r="B45" i="14"/>
  <c r="C12" i="14"/>
  <c r="C16" i="14" s="1"/>
  <c r="C25" i="13"/>
  <c r="C12" i="13"/>
  <c r="C16" i="13" s="1"/>
  <c r="C41" i="12"/>
  <c r="D20" i="11"/>
  <c r="D20" i="8"/>
  <c r="D22" i="8" s="1"/>
  <c r="C39" i="11"/>
  <c r="D11" i="11"/>
  <c r="D13" i="11" s="1"/>
  <c r="E7" i="7"/>
  <c r="D18" i="10"/>
  <c r="H25" i="7"/>
  <c r="H26" i="7" s="1"/>
  <c r="H27" i="7" s="1"/>
  <c r="I25" i="7" s="1"/>
  <c r="D12" i="12" l="1"/>
  <c r="D14" i="12" s="1"/>
  <c r="M12" i="13"/>
  <c r="M16" i="13" s="1"/>
  <c r="N12" i="12"/>
  <c r="N14" i="12" s="1"/>
  <c r="I83" i="3"/>
  <c r="N11" i="11"/>
  <c r="N13" i="11" s="1"/>
  <c r="C29" i="9"/>
  <c r="C31" i="9" s="1"/>
  <c r="E21" i="8"/>
  <c r="M78" i="3"/>
  <c r="M80" i="3" s="1"/>
  <c r="L7" i="2" s="1"/>
  <c r="L9" i="2" s="1"/>
  <c r="L80" i="3"/>
  <c r="K7" i="2" s="1"/>
  <c r="K9" i="2" s="1"/>
  <c r="K6" i="11"/>
  <c r="J7" i="13"/>
  <c r="K14" i="8"/>
  <c r="J7" i="14"/>
  <c r="K7" i="12"/>
  <c r="J9" i="9"/>
  <c r="J10" i="9" s="1"/>
  <c r="K71" i="3"/>
  <c r="I22" i="9"/>
  <c r="I23" i="9" s="1"/>
  <c r="I25" i="9" s="1"/>
  <c r="J73" i="3"/>
  <c r="N24" i="8"/>
  <c r="N7" i="10" s="1"/>
  <c r="N10" i="10" s="1"/>
  <c r="N16" i="10" s="1"/>
  <c r="K65" i="3"/>
  <c r="I13" i="9"/>
  <c r="I14" i="9" s="1"/>
  <c r="J67" i="3"/>
  <c r="J83" i="3" s="1"/>
  <c r="I7" i="11"/>
  <c r="I16" i="8" s="1"/>
  <c r="H8" i="13"/>
  <c r="H8" i="14"/>
  <c r="I8" i="12"/>
  <c r="N7" i="14"/>
  <c r="O6" i="11"/>
  <c r="O7" i="12"/>
  <c r="N7" i="13"/>
  <c r="N9" i="9"/>
  <c r="O14" i="8"/>
  <c r="O22" i="8" s="1"/>
  <c r="O6" i="8"/>
  <c r="O12" i="8" s="1"/>
  <c r="N48" i="2"/>
  <c r="O5" i="11"/>
  <c r="O6" i="12"/>
  <c r="N6" i="13"/>
  <c r="N6" i="14"/>
  <c r="N10" i="9"/>
  <c r="N27" i="9" s="1"/>
  <c r="P6" i="2"/>
  <c r="P41" i="2"/>
  <c r="Q6" i="2"/>
  <c r="Q41" i="2"/>
  <c r="O6" i="9"/>
  <c r="O7" i="9" s="1"/>
  <c r="O47" i="2"/>
  <c r="O9" i="2"/>
  <c r="O11" i="2"/>
  <c r="M28" i="9"/>
  <c r="M29" i="9" s="1"/>
  <c r="J19" i="14"/>
  <c r="J19" i="13"/>
  <c r="K16" i="12"/>
  <c r="K15" i="11"/>
  <c r="K19" i="14"/>
  <c r="K19" i="13"/>
  <c r="L16" i="12"/>
  <c r="L15" i="11"/>
  <c r="L11" i="10"/>
  <c r="K12" i="10"/>
  <c r="D18" i="9"/>
  <c r="E8" i="7"/>
  <c r="D25" i="10"/>
  <c r="D14" i="11"/>
  <c r="D16" i="11" s="1"/>
  <c r="D15" i="12"/>
  <c r="E16" i="12" s="1"/>
  <c r="D19" i="10"/>
  <c r="D21" i="10" s="1"/>
  <c r="C18" i="13"/>
  <c r="C20" i="13" s="1"/>
  <c r="C18" i="14"/>
  <c r="C20" i="14" s="1"/>
  <c r="G16" i="7"/>
  <c r="G17" i="7" s="1"/>
  <c r="G18" i="7" s="1"/>
  <c r="E23" i="10"/>
  <c r="F23" i="10" s="1"/>
  <c r="G23" i="10" s="1"/>
  <c r="H23" i="10" s="1"/>
  <c r="I23" i="10" s="1"/>
  <c r="J23" i="10" s="1"/>
  <c r="K23" i="10" s="1"/>
  <c r="L23" i="10" s="1"/>
  <c r="M23" i="10" s="1"/>
  <c r="D17" i="12"/>
  <c r="D24" i="8"/>
  <c r="C30" i="9" l="1"/>
  <c r="D24" i="10" s="1"/>
  <c r="N12" i="13"/>
  <c r="N16" i="13" s="1"/>
  <c r="O11" i="11"/>
  <c r="O13" i="11" s="1"/>
  <c r="M6" i="11"/>
  <c r="L7" i="13"/>
  <c r="M14" i="8"/>
  <c r="L7" i="14"/>
  <c r="M7" i="12"/>
  <c r="L9" i="9"/>
  <c r="L10" i="9" s="1"/>
  <c r="N12" i="14"/>
  <c r="N16" i="14" s="1"/>
  <c r="O12" i="12"/>
  <c r="O14" i="12" s="1"/>
  <c r="L6" i="11"/>
  <c r="K7" i="13"/>
  <c r="L14" i="8"/>
  <c r="K7" i="14"/>
  <c r="L7" i="12"/>
  <c r="K9" i="9"/>
  <c r="K10" i="9" s="1"/>
  <c r="L71" i="3"/>
  <c r="J22" i="9"/>
  <c r="J23" i="9" s="1"/>
  <c r="J25" i="9" s="1"/>
  <c r="K73" i="3"/>
  <c r="L65" i="3"/>
  <c r="J13" i="9"/>
  <c r="J14" i="9" s="1"/>
  <c r="K67" i="3"/>
  <c r="C32" i="9"/>
  <c r="D26" i="10" s="1"/>
  <c r="E27" i="10" s="1"/>
  <c r="O24" i="8"/>
  <c r="O7" i="10" s="1"/>
  <c r="O10" i="10" s="1"/>
  <c r="O16" i="10" s="1"/>
  <c r="I8" i="14"/>
  <c r="I12" i="14" s="1"/>
  <c r="I16" i="14" s="1"/>
  <c r="J8" i="12"/>
  <c r="J12" i="12" s="1"/>
  <c r="J14" i="12" s="1"/>
  <c r="J7" i="11"/>
  <c r="I8" i="13"/>
  <c r="I12" i="13" s="1"/>
  <c r="I16" i="13" s="1"/>
  <c r="I19" i="9"/>
  <c r="I26" i="9" s="1"/>
  <c r="I27" i="9" s="1"/>
  <c r="M30" i="9"/>
  <c r="M31" i="9"/>
  <c r="N14" i="11"/>
  <c r="N15" i="12"/>
  <c r="N19" i="10"/>
  <c r="N21" i="10" s="1"/>
  <c r="M18" i="13"/>
  <c r="M18" i="14"/>
  <c r="O7" i="14"/>
  <c r="P6" i="11"/>
  <c r="P7" i="12"/>
  <c r="O7" i="13"/>
  <c r="O9" i="9"/>
  <c r="P14" i="8"/>
  <c r="P22" i="8" s="1"/>
  <c r="P6" i="8"/>
  <c r="P12" i="8" s="1"/>
  <c r="O48" i="2"/>
  <c r="P5" i="11"/>
  <c r="P6" i="12"/>
  <c r="O6" i="13"/>
  <c r="O6" i="14"/>
  <c r="O10" i="9"/>
  <c r="O27" i="9" s="1"/>
  <c r="Q6" i="9"/>
  <c r="Q7" i="9" s="1"/>
  <c r="Q47" i="2"/>
  <c r="Q9" i="2"/>
  <c r="Q11" i="2"/>
  <c r="P6" i="9"/>
  <c r="P7" i="9" s="1"/>
  <c r="P47" i="2"/>
  <c r="P9" i="2"/>
  <c r="P11" i="2"/>
  <c r="N28" i="9"/>
  <c r="N29" i="9" s="1"/>
  <c r="M11" i="10"/>
  <c r="M12" i="10" s="1"/>
  <c r="L12" i="10"/>
  <c r="M21" i="8"/>
  <c r="D7" i="10"/>
  <c r="D10" i="10" s="1"/>
  <c r="D16" i="10" s="1"/>
  <c r="E8" i="8"/>
  <c r="H16" i="7"/>
  <c r="H17" i="7" s="1"/>
  <c r="H18" i="7" s="1"/>
  <c r="I16" i="7" s="1"/>
  <c r="D19" i="14"/>
  <c r="C24" i="14"/>
  <c r="C26" i="14" s="1"/>
  <c r="C36" i="14" s="1"/>
  <c r="D19" i="13"/>
  <c r="C24" i="13"/>
  <c r="C26" i="13" s="1"/>
  <c r="C36" i="13" s="1"/>
  <c r="D20" i="12"/>
  <c r="D22" i="12" s="1"/>
  <c r="D32" i="12" s="1"/>
  <c r="E15" i="11"/>
  <c r="D19" i="11"/>
  <c r="D21" i="11" s="1"/>
  <c r="D30" i="11" s="1"/>
  <c r="E29" i="11"/>
  <c r="E17" i="8" s="1"/>
  <c r="E30" i="12"/>
  <c r="D34" i="13"/>
  <c r="D34" i="14"/>
  <c r="E9" i="7"/>
  <c r="E10" i="11"/>
  <c r="E11" i="12"/>
  <c r="E21" i="12" s="1"/>
  <c r="D11" i="13"/>
  <c r="D11" i="14"/>
  <c r="D45" i="12" l="1"/>
  <c r="O12" i="14"/>
  <c r="O16" i="14" s="1"/>
  <c r="P12" i="12"/>
  <c r="P14" i="12" s="1"/>
  <c r="K83" i="3"/>
  <c r="O12" i="13"/>
  <c r="O16" i="13" s="1"/>
  <c r="P11" i="11"/>
  <c r="P13" i="11" s="1"/>
  <c r="M71" i="3"/>
  <c r="K22" i="9"/>
  <c r="K23" i="9" s="1"/>
  <c r="K25" i="9" s="1"/>
  <c r="L73" i="3"/>
  <c r="M32" i="9"/>
  <c r="N26" i="10" s="1"/>
  <c r="N28" i="10" s="1"/>
  <c r="N29" i="10" s="1"/>
  <c r="N30" i="10" s="1"/>
  <c r="I28" i="9"/>
  <c r="I29" i="9" s="1"/>
  <c r="J16" i="8"/>
  <c r="J11" i="11"/>
  <c r="J13" i="11" s="1"/>
  <c r="K7" i="11"/>
  <c r="J8" i="13"/>
  <c r="J12" i="13" s="1"/>
  <c r="J16" i="13" s="1"/>
  <c r="J8" i="14"/>
  <c r="J12" i="14" s="1"/>
  <c r="J16" i="14" s="1"/>
  <c r="K8" i="12"/>
  <c r="K12" i="12" s="1"/>
  <c r="K14" i="12" s="1"/>
  <c r="J19" i="9"/>
  <c r="J26" i="9" s="1"/>
  <c r="J27" i="9" s="1"/>
  <c r="D28" i="10"/>
  <c r="D29" i="10" s="1"/>
  <c r="M65" i="3"/>
  <c r="K13" i="9"/>
  <c r="K14" i="9" s="1"/>
  <c r="L67" i="3"/>
  <c r="L83" i="3" s="1"/>
  <c r="D30" i="10"/>
  <c r="P24" i="8"/>
  <c r="P7" i="10" s="1"/>
  <c r="P10" i="10" s="1"/>
  <c r="P16" i="10" s="1"/>
  <c r="N30" i="9"/>
  <c r="N31" i="9"/>
  <c r="O14" i="11"/>
  <c r="O15" i="12"/>
  <c r="O19" i="10"/>
  <c r="O21" i="10" s="1"/>
  <c r="N18" i="13"/>
  <c r="N18" i="14"/>
  <c r="P7" i="14"/>
  <c r="Q6" i="11"/>
  <c r="Q7" i="12"/>
  <c r="P7" i="13"/>
  <c r="P9" i="9"/>
  <c r="Q14" i="8"/>
  <c r="Q22" i="8" s="1"/>
  <c r="Q6" i="8"/>
  <c r="Q12" i="8" s="1"/>
  <c r="P48" i="2"/>
  <c r="Q5" i="11"/>
  <c r="Q6" i="12"/>
  <c r="P6" i="13"/>
  <c r="P6" i="14"/>
  <c r="P10" i="9"/>
  <c r="P27" i="9" s="1"/>
  <c r="Q7" i="14"/>
  <c r="R6" i="11"/>
  <c r="R7" i="12"/>
  <c r="Q7" i="13"/>
  <c r="Q9" i="9"/>
  <c r="R14" i="8"/>
  <c r="R22" i="8" s="1"/>
  <c r="R6" i="8"/>
  <c r="R12" i="8" s="1"/>
  <c r="Q48" i="2"/>
  <c r="R5" i="11"/>
  <c r="R6" i="12"/>
  <c r="Q6" i="13"/>
  <c r="Q6" i="14"/>
  <c r="Q10" i="9"/>
  <c r="Q27" i="9" s="1"/>
  <c r="O28" i="9"/>
  <c r="O29" i="9" s="1"/>
  <c r="M24" i="14"/>
  <c r="M20" i="14"/>
  <c r="M24" i="13"/>
  <c r="M20" i="13"/>
  <c r="N20" i="12"/>
  <c r="N17" i="12"/>
  <c r="N19" i="11"/>
  <c r="N16" i="11"/>
  <c r="L19" i="14"/>
  <c r="L19" i="13"/>
  <c r="M16" i="12"/>
  <c r="M15" i="11"/>
  <c r="D42" i="11"/>
  <c r="D43" i="11"/>
  <c r="D44" i="12"/>
  <c r="C48" i="13"/>
  <c r="C49" i="13"/>
  <c r="C48" i="14"/>
  <c r="C49" i="14"/>
  <c r="D25" i="14"/>
  <c r="D25" i="13"/>
  <c r="E20" i="11"/>
  <c r="E20" i="8"/>
  <c r="F7" i="7"/>
  <c r="E18" i="10"/>
  <c r="C48" i="12" l="1"/>
  <c r="Q12" i="14"/>
  <c r="Q16" i="14" s="1"/>
  <c r="R12" i="12"/>
  <c r="R14" i="12" s="1"/>
  <c r="P12" i="13"/>
  <c r="P16" i="13" s="1"/>
  <c r="Q11" i="11"/>
  <c r="Q13" i="11" s="1"/>
  <c r="N32" i="9"/>
  <c r="O26" i="10" s="1"/>
  <c r="O28" i="10" s="1"/>
  <c r="P12" i="14"/>
  <c r="P16" i="14" s="1"/>
  <c r="Q12" i="12"/>
  <c r="Q14" i="12" s="1"/>
  <c r="L22" i="9"/>
  <c r="L23" i="9" s="1"/>
  <c r="L25" i="9" s="1"/>
  <c r="M73" i="3"/>
  <c r="Q24" i="8"/>
  <c r="Q7" i="10" s="1"/>
  <c r="Q10" i="10" s="1"/>
  <c r="Q16" i="10" s="1"/>
  <c r="L13" i="9"/>
  <c r="L14" i="9" s="1"/>
  <c r="M67" i="3"/>
  <c r="J28" i="9"/>
  <c r="J29" i="9" s="1"/>
  <c r="K16" i="8"/>
  <c r="K22" i="8" s="1"/>
  <c r="K11" i="11"/>
  <c r="K13" i="11" s="1"/>
  <c r="J15" i="12"/>
  <c r="J17" i="12" s="1"/>
  <c r="I18" i="13"/>
  <c r="I20" i="13" s="1"/>
  <c r="J14" i="11"/>
  <c r="J16" i="11" s="1"/>
  <c r="J19" i="10"/>
  <c r="J21" i="10" s="1"/>
  <c r="I18" i="14"/>
  <c r="I20" i="14" s="1"/>
  <c r="K8" i="14"/>
  <c r="K12" i="14" s="1"/>
  <c r="K16" i="14" s="1"/>
  <c r="L8" i="12"/>
  <c r="L12" i="12" s="1"/>
  <c r="L14" i="12" s="1"/>
  <c r="L7" i="11"/>
  <c r="K8" i="13"/>
  <c r="K12" i="13" s="1"/>
  <c r="K16" i="13" s="1"/>
  <c r="K19" i="9"/>
  <c r="K26" i="9" s="1"/>
  <c r="K27" i="9" s="1"/>
  <c r="I31" i="9"/>
  <c r="I30" i="9"/>
  <c r="N21" i="11"/>
  <c r="N30" i="11" s="1"/>
  <c r="N43" i="11" s="1"/>
  <c r="N22" i="12"/>
  <c r="N32" i="12" s="1"/>
  <c r="N45" i="12" s="1"/>
  <c r="M26" i="13"/>
  <c r="M36" i="13" s="1"/>
  <c r="M49" i="13" s="1"/>
  <c r="M26" i="14"/>
  <c r="M36" i="14" s="1"/>
  <c r="M49" i="14" s="1"/>
  <c r="Q12" i="13"/>
  <c r="Q16" i="13" s="1"/>
  <c r="R11" i="11"/>
  <c r="R13" i="11" s="1"/>
  <c r="R24" i="8"/>
  <c r="R7" i="10" s="1"/>
  <c r="R10" i="10" s="1"/>
  <c r="R16" i="10" s="1"/>
  <c r="O29" i="10"/>
  <c r="O30" i="10" s="1"/>
  <c r="N42" i="11"/>
  <c r="O30" i="9"/>
  <c r="O31" i="9"/>
  <c r="P14" i="11"/>
  <c r="P15" i="12"/>
  <c r="P19" i="10"/>
  <c r="P21" i="10" s="1"/>
  <c r="O18" i="13"/>
  <c r="O18" i="14"/>
  <c r="Q28" i="9"/>
  <c r="Q29" i="9" s="1"/>
  <c r="P28" i="9"/>
  <c r="P29" i="9" s="1"/>
  <c r="N24" i="14"/>
  <c r="N20" i="14"/>
  <c r="N24" i="13"/>
  <c r="N20" i="13"/>
  <c r="O20" i="12"/>
  <c r="O17" i="12"/>
  <c r="O19" i="11"/>
  <c r="O16" i="11"/>
  <c r="E18" i="9"/>
  <c r="F8" i="7"/>
  <c r="N44" i="12" l="1"/>
  <c r="M83" i="3"/>
  <c r="M48" i="14"/>
  <c r="O21" i="11"/>
  <c r="O30" i="11" s="1"/>
  <c r="O42" i="11" s="1"/>
  <c r="O22" i="12"/>
  <c r="O32" i="12" s="1"/>
  <c r="O45" i="12" s="1"/>
  <c r="N26" i="13"/>
  <c r="N36" i="13" s="1"/>
  <c r="N49" i="13" s="1"/>
  <c r="N26" i="14"/>
  <c r="N36" i="14" s="1"/>
  <c r="N49" i="14" s="1"/>
  <c r="M48" i="13"/>
  <c r="I32" i="9"/>
  <c r="J26" i="10" s="1"/>
  <c r="K14" i="11"/>
  <c r="K19" i="11" s="1"/>
  <c r="K19" i="10"/>
  <c r="K21" i="10" s="1"/>
  <c r="J18" i="14"/>
  <c r="K15" i="12"/>
  <c r="J18" i="13"/>
  <c r="M7" i="11"/>
  <c r="L8" i="13"/>
  <c r="L12" i="13" s="1"/>
  <c r="L16" i="13" s="1"/>
  <c r="L8" i="14"/>
  <c r="L12" i="14" s="1"/>
  <c r="L16" i="14" s="1"/>
  <c r="M8" i="12"/>
  <c r="M12" i="12" s="1"/>
  <c r="M14" i="12" s="1"/>
  <c r="L19" i="9"/>
  <c r="L26" i="9" s="1"/>
  <c r="L27" i="9" s="1"/>
  <c r="O32" i="9"/>
  <c r="P26" i="10" s="1"/>
  <c r="P28" i="10" s="1"/>
  <c r="P29" i="10" s="1"/>
  <c r="P30" i="10" s="1"/>
  <c r="K28" i="9"/>
  <c r="K29" i="9" s="1"/>
  <c r="L16" i="8"/>
  <c r="L22" i="8" s="1"/>
  <c r="L11" i="11"/>
  <c r="L13" i="11" s="1"/>
  <c r="J31" i="9"/>
  <c r="J30" i="9"/>
  <c r="K16" i="11"/>
  <c r="K21" i="11" s="1"/>
  <c r="K30" i="11" s="1"/>
  <c r="O43" i="11"/>
  <c r="O44" i="12"/>
  <c r="N48" i="13"/>
  <c r="N48" i="14"/>
  <c r="P30" i="9"/>
  <c r="P31" i="9"/>
  <c r="Q14" i="11"/>
  <c r="Q15" i="12"/>
  <c r="Q19" i="10"/>
  <c r="Q21" i="10" s="1"/>
  <c r="P18" i="13"/>
  <c r="P18" i="14"/>
  <c r="Q30" i="9"/>
  <c r="Q31" i="9"/>
  <c r="R14" i="11"/>
  <c r="R15" i="12"/>
  <c r="R19" i="10"/>
  <c r="R21" i="10" s="1"/>
  <c r="Q18" i="13"/>
  <c r="Q18" i="14"/>
  <c r="O24" i="14"/>
  <c r="O20" i="14"/>
  <c r="O24" i="13"/>
  <c r="O20" i="13"/>
  <c r="P20" i="12"/>
  <c r="P17" i="12"/>
  <c r="P19" i="11"/>
  <c r="P16" i="11"/>
  <c r="F29" i="11"/>
  <c r="F17" i="8" s="1"/>
  <c r="F30" i="12"/>
  <c r="E34" i="13"/>
  <c r="E34" i="14"/>
  <c r="F9" i="7"/>
  <c r="F10" i="11"/>
  <c r="F11" i="12"/>
  <c r="E11" i="13"/>
  <c r="E11" i="14"/>
  <c r="Q32" i="9" l="1"/>
  <c r="R26" i="10" s="1"/>
  <c r="R28" i="10" s="1"/>
  <c r="R29" i="10" s="1"/>
  <c r="R30" i="10" s="1"/>
  <c r="J32" i="9"/>
  <c r="K26" i="10" s="1"/>
  <c r="P32" i="9"/>
  <c r="Q26" i="10" s="1"/>
  <c r="Q28" i="10" s="1"/>
  <c r="Q29" i="10" s="1"/>
  <c r="Q30" i="10" s="1"/>
  <c r="K30" i="9"/>
  <c r="K31" i="9"/>
  <c r="K42" i="11"/>
  <c r="K43" i="11"/>
  <c r="J24" i="13"/>
  <c r="J20" i="13"/>
  <c r="J24" i="14"/>
  <c r="J20" i="14"/>
  <c r="L14" i="11"/>
  <c r="L19" i="11" s="1"/>
  <c r="L19" i="10"/>
  <c r="L21" i="10" s="1"/>
  <c r="K18" i="14"/>
  <c r="L15" i="12"/>
  <c r="K18" i="13"/>
  <c r="L28" i="9"/>
  <c r="L29" i="9" s="1"/>
  <c r="M16" i="8"/>
  <c r="M22" i="8" s="1"/>
  <c r="M11" i="11"/>
  <c r="M13" i="11" s="1"/>
  <c r="K20" i="12"/>
  <c r="K17" i="12"/>
  <c r="P21" i="11"/>
  <c r="P30" i="11" s="1"/>
  <c r="P43" i="11" s="1"/>
  <c r="P22" i="12"/>
  <c r="P32" i="12" s="1"/>
  <c r="P44" i="12" s="1"/>
  <c r="O26" i="13"/>
  <c r="O36" i="13" s="1"/>
  <c r="O49" i="13" s="1"/>
  <c r="O26" i="14"/>
  <c r="O36" i="14" s="1"/>
  <c r="O48" i="14" s="1"/>
  <c r="P42" i="11"/>
  <c r="Q24" i="14"/>
  <c r="Q20" i="14"/>
  <c r="Q24" i="13"/>
  <c r="Q20" i="13"/>
  <c r="R20" i="12"/>
  <c r="R17" i="12"/>
  <c r="R19" i="11"/>
  <c r="R16" i="11"/>
  <c r="P24" i="14"/>
  <c r="P20" i="14"/>
  <c r="P24" i="13"/>
  <c r="P20" i="13"/>
  <c r="Q20" i="12"/>
  <c r="Q17" i="12"/>
  <c r="Q19" i="11"/>
  <c r="Q16" i="11"/>
  <c r="E25" i="14"/>
  <c r="E25" i="13"/>
  <c r="F21" i="12"/>
  <c r="F20" i="11"/>
  <c r="F20" i="8"/>
  <c r="G7" i="7"/>
  <c r="F18" i="10"/>
  <c r="O48" i="13" l="1"/>
  <c r="K32" i="9"/>
  <c r="L26" i="10" s="1"/>
  <c r="L16" i="11"/>
  <c r="L21" i="11" s="1"/>
  <c r="L30" i="11" s="1"/>
  <c r="L42" i="11" s="1"/>
  <c r="Q21" i="11"/>
  <c r="Q30" i="11" s="1"/>
  <c r="Q42" i="11" s="1"/>
  <c r="Q22" i="12"/>
  <c r="Q32" i="12" s="1"/>
  <c r="Q44" i="12" s="1"/>
  <c r="P26" i="13"/>
  <c r="P36" i="13" s="1"/>
  <c r="P49" i="13" s="1"/>
  <c r="P26" i="14"/>
  <c r="P36" i="14" s="1"/>
  <c r="P48" i="14" s="1"/>
  <c r="R21" i="11"/>
  <c r="R30" i="11" s="1"/>
  <c r="R42" i="11" s="1"/>
  <c r="R22" i="12"/>
  <c r="R32" i="12" s="1"/>
  <c r="R44" i="12" s="1"/>
  <c r="Q26" i="13"/>
  <c r="Q36" i="13" s="1"/>
  <c r="Q49" i="13" s="1"/>
  <c r="Q26" i="14"/>
  <c r="Q36" i="14" s="1"/>
  <c r="Q48" i="14" s="1"/>
  <c r="O49" i="14"/>
  <c r="P45" i="12"/>
  <c r="L31" i="9"/>
  <c r="L30" i="9"/>
  <c r="K24" i="13"/>
  <c r="K20" i="13"/>
  <c r="K24" i="14"/>
  <c r="K20" i="14"/>
  <c r="K22" i="12"/>
  <c r="K32" i="12" s="1"/>
  <c r="J26" i="14"/>
  <c r="J36" i="14" s="1"/>
  <c r="J26" i="13"/>
  <c r="J36" i="13" s="1"/>
  <c r="M15" i="12"/>
  <c r="L18" i="13"/>
  <c r="M14" i="11"/>
  <c r="M19" i="11" s="1"/>
  <c r="M19" i="10"/>
  <c r="M21" i="10" s="1"/>
  <c r="L18" i="14"/>
  <c r="L20" i="12"/>
  <c r="L17" i="12"/>
  <c r="L43" i="11"/>
  <c r="Q43" i="11"/>
  <c r="Q45" i="12"/>
  <c r="P48" i="13"/>
  <c r="P49" i="14"/>
  <c r="R43" i="11"/>
  <c r="R45" i="12"/>
  <c r="Q48" i="13"/>
  <c r="F18" i="9"/>
  <c r="G8" i="7"/>
  <c r="Q49" i="14" l="1"/>
  <c r="M16" i="11"/>
  <c r="K26" i="14"/>
  <c r="K36" i="14" s="1"/>
  <c r="K26" i="13"/>
  <c r="K36" i="13" s="1"/>
  <c r="K49" i="13" s="1"/>
  <c r="L24" i="14"/>
  <c r="L20" i="14"/>
  <c r="M20" i="12"/>
  <c r="M17" i="12"/>
  <c r="J48" i="14"/>
  <c r="J49" i="14"/>
  <c r="K44" i="12"/>
  <c r="K45" i="12"/>
  <c r="L22" i="12"/>
  <c r="L32" i="12" s="1"/>
  <c r="M21" i="11"/>
  <c r="M30" i="11" s="1"/>
  <c r="L32" i="9"/>
  <c r="M26" i="10" s="1"/>
  <c r="L24" i="13"/>
  <c r="L20" i="13"/>
  <c r="J48" i="13"/>
  <c r="J49" i="13"/>
  <c r="K49" i="14"/>
  <c r="K48" i="14"/>
  <c r="K48" i="13"/>
  <c r="F34" i="13"/>
  <c r="F34" i="14"/>
  <c r="G29" i="11"/>
  <c r="G17" i="8" s="1"/>
  <c r="G30" i="12"/>
  <c r="G9" i="7"/>
  <c r="F11" i="13"/>
  <c r="F11" i="14"/>
  <c r="G10" i="11"/>
  <c r="G11" i="12"/>
  <c r="M22" i="12" l="1"/>
  <c r="M32" i="12" s="1"/>
  <c r="M45" i="12" s="1"/>
  <c r="L26" i="14"/>
  <c r="L36" i="14" s="1"/>
  <c r="L48" i="14" s="1"/>
  <c r="L44" i="12"/>
  <c r="L45" i="12"/>
  <c r="L26" i="13"/>
  <c r="L36" i="13" s="1"/>
  <c r="M42" i="11"/>
  <c r="M43" i="11"/>
  <c r="L49" i="14"/>
  <c r="G21" i="12"/>
  <c r="G20" i="11"/>
  <c r="G20" i="8"/>
  <c r="F25" i="14"/>
  <c r="F25" i="13"/>
  <c r="H7" i="7"/>
  <c r="G18" i="10"/>
  <c r="M44" i="12" l="1"/>
  <c r="L49" i="13"/>
  <c r="L48" i="13"/>
  <c r="G18" i="9"/>
  <c r="H8" i="7"/>
  <c r="G34" i="13" l="1"/>
  <c r="G34" i="14"/>
  <c r="H29" i="11"/>
  <c r="H17" i="8" s="1"/>
  <c r="H30" i="12"/>
  <c r="H9" i="7"/>
  <c r="G11" i="13"/>
  <c r="G11" i="14"/>
  <c r="H10" i="11"/>
  <c r="H11" i="12"/>
  <c r="H18" i="10" l="1"/>
  <c r="I7" i="7"/>
  <c r="H18" i="9" s="1"/>
  <c r="H21" i="12"/>
  <c r="H20" i="11"/>
  <c r="H20" i="8"/>
  <c r="G25" i="14"/>
  <c r="G25" i="13"/>
  <c r="I8" i="8" l="1"/>
  <c r="H11" i="13"/>
  <c r="H11" i="14"/>
  <c r="I10" i="11"/>
  <c r="I11" i="12"/>
  <c r="H19" i="9"/>
  <c r="H19" i="14" l="1"/>
  <c r="H19" i="13"/>
  <c r="I16" i="12"/>
  <c r="I15" i="11"/>
  <c r="I21" i="12"/>
  <c r="I20" i="11"/>
  <c r="I20" i="8"/>
  <c r="H25" i="14"/>
  <c r="H25" i="13"/>
  <c r="J8" i="8" l="1"/>
  <c r="J12" i="8" s="1"/>
  <c r="J21" i="8"/>
  <c r="J22" i="8" s="1"/>
  <c r="I19" i="14" l="1"/>
  <c r="I24" i="14" s="1"/>
  <c r="I26" i="14" s="1"/>
  <c r="I36" i="14" s="1"/>
  <c r="I19" i="13"/>
  <c r="I24" i="13" s="1"/>
  <c r="I26" i="13" s="1"/>
  <c r="I36" i="13" s="1"/>
  <c r="J16" i="12"/>
  <c r="J20" i="12" s="1"/>
  <c r="J22" i="12" s="1"/>
  <c r="J32" i="12" s="1"/>
  <c r="J15" i="11"/>
  <c r="J19" i="11" s="1"/>
  <c r="J21" i="11" s="1"/>
  <c r="J30" i="11" s="1"/>
  <c r="J27" i="10"/>
  <c r="K27" i="10" s="1"/>
  <c r="L27" i="10" s="1"/>
  <c r="M27" i="10" s="1"/>
  <c r="K24" i="10"/>
  <c r="J24" i="8"/>
  <c r="K8" i="8" l="1"/>
  <c r="K12" i="8" s="1"/>
  <c r="K24" i="8" s="1"/>
  <c r="J7" i="10"/>
  <c r="J10" i="10" s="1"/>
  <c r="J16" i="10" s="1"/>
  <c r="L24" i="10"/>
  <c r="J42" i="11"/>
  <c r="J43" i="11"/>
  <c r="J44" i="12"/>
  <c r="J45" i="12"/>
  <c r="I48" i="13"/>
  <c r="I49" i="13"/>
  <c r="I48" i="14"/>
  <c r="I49" i="14"/>
  <c r="M24" i="10" l="1"/>
  <c r="L8" i="8"/>
  <c r="L12" i="8" s="1"/>
  <c r="L24" i="8" s="1"/>
  <c r="K7" i="10"/>
  <c r="K10" i="10" s="1"/>
  <c r="K16" i="10" s="1"/>
  <c r="M8" i="8" l="1"/>
  <c r="M12" i="8" s="1"/>
  <c r="M24" i="8" s="1"/>
  <c r="M7" i="10" s="1"/>
  <c r="M10" i="10" s="1"/>
  <c r="M16" i="10" s="1"/>
  <c r="L7" i="10"/>
  <c r="L10" i="10" s="1"/>
  <c r="L16" i="10" s="1"/>
  <c r="M25" i="10"/>
  <c r="M28" i="10" s="1"/>
  <c r="M29" i="10" s="1"/>
  <c r="L25" i="10"/>
  <c r="L28" i="10" s="1"/>
  <c r="L29" i="10" s="1"/>
  <c r="L30" i="10" s="1"/>
  <c r="K25" i="10"/>
  <c r="K28" i="10" s="1"/>
  <c r="K29" i="10" s="1"/>
  <c r="K30" i="10" s="1"/>
  <c r="J24" i="10"/>
  <c r="J25" i="10"/>
  <c r="G46" i="2"/>
  <c r="I6" i="12" s="1"/>
  <c r="I12" i="12" s="1"/>
  <c r="H32" i="5"/>
  <c r="H46" i="5" s="1"/>
  <c r="H24" i="9" s="1"/>
  <c r="H6" i="14"/>
  <c r="H12" i="14" s="1"/>
  <c r="I24" i="10"/>
  <c r="I25" i="10"/>
  <c r="I27" i="10"/>
  <c r="I21" i="8"/>
  <c r="D38" i="2"/>
  <c r="D6" i="2" s="1"/>
  <c r="D20" i="2"/>
  <c r="E24" i="2"/>
  <c r="E17" i="2" s="1"/>
  <c r="H9" i="10" l="1"/>
  <c r="I7" i="8"/>
  <c r="I12" i="8" s="1"/>
  <c r="H6" i="13"/>
  <c r="H12" i="13" s="1"/>
  <c r="J28" i="10"/>
  <c r="J29" i="10" s="1"/>
  <c r="J30" i="10" s="1"/>
  <c r="I5" i="11"/>
  <c r="I11" i="11" s="1"/>
  <c r="I13" i="12"/>
  <c r="H25" i="9"/>
  <c r="H26" i="9" s="1"/>
  <c r="H27" i="9" s="1"/>
  <c r="H14" i="14"/>
  <c r="H16" i="14" s="1"/>
  <c r="I12" i="11"/>
  <c r="I15" i="8" s="1"/>
  <c r="I22" i="8" s="1"/>
  <c r="H14" i="13"/>
  <c r="H16" i="13" s="1"/>
  <c r="M30" i="10"/>
  <c r="I14" i="12"/>
  <c r="E38" i="2"/>
  <c r="E6" i="2" s="1"/>
  <c r="F24" i="2"/>
  <c r="F17" i="2" s="1"/>
  <c r="E20" i="2"/>
  <c r="D41" i="2"/>
  <c r="I24" i="8" l="1"/>
  <c r="I7" i="10" s="1"/>
  <c r="I10" i="10" s="1"/>
  <c r="I16" i="10" s="1"/>
  <c r="I13" i="11"/>
  <c r="E41" i="2"/>
  <c r="H28" i="9"/>
  <c r="H29" i="9" s="1"/>
  <c r="D6" i="9"/>
  <c r="D7" i="9" s="1"/>
  <c r="D46" i="2"/>
  <c r="D47" i="2" s="1"/>
  <c r="F38" i="2"/>
  <c r="F20" i="2"/>
  <c r="G24" i="2"/>
  <c r="G17" i="2" s="1"/>
  <c r="E46" i="2"/>
  <c r="D11" i="2"/>
  <c r="D32" i="5" s="1"/>
  <c r="E11" i="2" l="1"/>
  <c r="E32" i="5" s="1"/>
  <c r="E47" i="2"/>
  <c r="E43" i="5" s="1"/>
  <c r="E46" i="5" s="1"/>
  <c r="E24" i="9" s="1"/>
  <c r="E25" i="9" s="1"/>
  <c r="E6" i="9"/>
  <c r="E7" i="9" s="1"/>
  <c r="E6" i="14" s="1"/>
  <c r="I15" i="12"/>
  <c r="H18" i="14"/>
  <c r="I19" i="10"/>
  <c r="I21" i="10" s="1"/>
  <c r="I14" i="11"/>
  <c r="H18" i="13"/>
  <c r="H31" i="9"/>
  <c r="H30" i="9"/>
  <c r="F6" i="8"/>
  <c r="E65" i="5"/>
  <c r="E68" i="5" s="1"/>
  <c r="E8" i="2" s="1"/>
  <c r="E9" i="2" s="1"/>
  <c r="G7" i="8"/>
  <c r="F9" i="10"/>
  <c r="E6" i="13"/>
  <c r="F5" i="11"/>
  <c r="G38" i="2"/>
  <c r="G20" i="2"/>
  <c r="F6" i="2"/>
  <c r="F41" i="2"/>
  <c r="D43" i="5"/>
  <c r="D46" i="5" s="1"/>
  <c r="D24" i="9" s="1"/>
  <c r="D25" i="9" s="1"/>
  <c r="E6" i="8"/>
  <c r="E12" i="8" s="1"/>
  <c r="D21" i="5"/>
  <c r="D24" i="5" s="1"/>
  <c r="D15" i="9" s="1"/>
  <c r="D65" i="5"/>
  <c r="D68" i="5" s="1"/>
  <c r="D8" i="2" s="1"/>
  <c r="D9" i="2" s="1"/>
  <c r="D48" i="2"/>
  <c r="F7" i="8"/>
  <c r="E9" i="10"/>
  <c r="D6" i="14"/>
  <c r="D6" i="13"/>
  <c r="E6" i="12"/>
  <c r="E5" i="11"/>
  <c r="E48" i="2" l="1"/>
  <c r="E21" i="5"/>
  <c r="E24" i="5" s="1"/>
  <c r="E15" i="9" s="1"/>
  <c r="E14" i="14" s="1"/>
  <c r="F6" i="12"/>
  <c r="H32" i="9"/>
  <c r="I26" i="10" s="1"/>
  <c r="I28" i="10" s="1"/>
  <c r="I29" i="10" s="1"/>
  <c r="I30" i="10" s="1"/>
  <c r="H24" i="13"/>
  <c r="H20" i="13"/>
  <c r="H26" i="13" s="1"/>
  <c r="H36" i="13" s="1"/>
  <c r="I20" i="12"/>
  <c r="I17" i="12"/>
  <c r="I22" i="12" s="1"/>
  <c r="I32" i="12" s="1"/>
  <c r="I19" i="11"/>
  <c r="I16" i="11"/>
  <c r="H24" i="14"/>
  <c r="H20" i="14"/>
  <c r="E13" i="12"/>
  <c r="E14" i="8"/>
  <c r="D7" i="14"/>
  <c r="D7" i="13"/>
  <c r="D9" i="9"/>
  <c r="D10" i="9" s="1"/>
  <c r="E7" i="12"/>
  <c r="E12" i="12" s="1"/>
  <c r="E6" i="11"/>
  <c r="D19" i="9"/>
  <c r="D26" i="9" s="1"/>
  <c r="D14" i="14"/>
  <c r="D14" i="13"/>
  <c r="E12" i="11"/>
  <c r="E15" i="8" s="1"/>
  <c r="F42" i="2"/>
  <c r="F6" i="9"/>
  <c r="F7" i="9" s="1"/>
  <c r="F46" i="2"/>
  <c r="F47" i="2" s="1"/>
  <c r="F11" i="2"/>
  <c r="F32" i="5" s="1"/>
  <c r="G6" i="2"/>
  <c r="G41" i="2"/>
  <c r="F14" i="8"/>
  <c r="E7" i="14"/>
  <c r="E12" i="14" s="1"/>
  <c r="E7" i="13"/>
  <c r="E9" i="9"/>
  <c r="E10" i="9" s="1"/>
  <c r="F7" i="12"/>
  <c r="F12" i="12" s="1"/>
  <c r="F6" i="11"/>
  <c r="F11" i="11" s="1"/>
  <c r="E19" i="9"/>
  <c r="E26" i="9" s="1"/>
  <c r="E14" i="13"/>
  <c r="F12" i="11"/>
  <c r="F15" i="8" s="1"/>
  <c r="E11" i="11"/>
  <c r="E13" i="11" s="1"/>
  <c r="D12" i="13"/>
  <c r="D16" i="13" s="1"/>
  <c r="D12" i="14"/>
  <c r="D16" i="14" s="1"/>
  <c r="E12" i="13"/>
  <c r="E16" i="13" s="1"/>
  <c r="F13" i="12" l="1"/>
  <c r="F13" i="11"/>
  <c r="E16" i="14"/>
  <c r="E14" i="12"/>
  <c r="F14" i="12"/>
  <c r="H26" i="14"/>
  <c r="H36" i="14" s="1"/>
  <c r="I21" i="11"/>
  <c r="I30" i="11" s="1"/>
  <c r="I44" i="12"/>
  <c r="I45" i="12"/>
  <c r="H49" i="13"/>
  <c r="H48" i="13"/>
  <c r="G42" i="2"/>
  <c r="G6" i="9"/>
  <c r="G7" i="9" s="1"/>
  <c r="G47" i="2"/>
  <c r="G11" i="2"/>
  <c r="G32" i="5" s="1"/>
  <c r="F43" i="5"/>
  <c r="G6" i="8"/>
  <c r="F21" i="5"/>
  <c r="F24" i="5" s="1"/>
  <c r="F15" i="9" s="1"/>
  <c r="F65" i="5"/>
  <c r="F68" i="5" s="1"/>
  <c r="F8" i="2" s="1"/>
  <c r="F9" i="2" s="1"/>
  <c r="H7" i="8"/>
  <c r="F48" i="2"/>
  <c r="G9" i="10"/>
  <c r="G6" i="12"/>
  <c r="G5" i="11"/>
  <c r="F6" i="14"/>
  <c r="F6" i="13"/>
  <c r="E27" i="9"/>
  <c r="F46" i="5"/>
  <c r="F24" i="9" s="1"/>
  <c r="F25" i="9" s="1"/>
  <c r="D27" i="9"/>
  <c r="E22" i="8"/>
  <c r="E24" i="8" s="1"/>
  <c r="H48" i="14" l="1"/>
  <c r="H49" i="14"/>
  <c r="I43" i="11"/>
  <c r="I42" i="11"/>
  <c r="E7" i="10"/>
  <c r="E10" i="10" s="1"/>
  <c r="E16" i="10" s="1"/>
  <c r="F8" i="8"/>
  <c r="F12" i="8" s="1"/>
  <c r="D28" i="9"/>
  <c r="E15" i="12" s="1"/>
  <c r="E28" i="9"/>
  <c r="E29" i="9" s="1"/>
  <c r="G14" i="8"/>
  <c r="F9" i="9"/>
  <c r="F10" i="9" s="1"/>
  <c r="G7" i="12"/>
  <c r="G6" i="11"/>
  <c r="F7" i="14"/>
  <c r="F7" i="13"/>
  <c r="F19" i="9"/>
  <c r="F14" i="13"/>
  <c r="G13" i="12"/>
  <c r="F14" i="14"/>
  <c r="G12" i="11"/>
  <c r="G15" i="8" s="1"/>
  <c r="H6" i="8"/>
  <c r="G43" i="5"/>
  <c r="G48" i="2"/>
  <c r="G21" i="5"/>
  <c r="G24" i="5" s="1"/>
  <c r="G15" i="9" s="1"/>
  <c r="G65" i="5"/>
  <c r="G68" i="5" s="1"/>
  <c r="G8" i="2" s="1"/>
  <c r="G9" i="2" s="1"/>
  <c r="H6" i="12"/>
  <c r="G6" i="13"/>
  <c r="G6" i="14"/>
  <c r="H5" i="11"/>
  <c r="F26" i="9"/>
  <c r="F12" i="13"/>
  <c r="F16" i="13" s="1"/>
  <c r="F12" i="14"/>
  <c r="G11" i="11"/>
  <c r="G12" i="12"/>
  <c r="G46" i="5"/>
  <c r="G24" i="9" s="1"/>
  <c r="G25" i="9" s="1"/>
  <c r="F16" i="14" l="1"/>
  <c r="G14" i="12"/>
  <c r="G13" i="11"/>
  <c r="D29" i="9"/>
  <c r="D31" i="9" s="1"/>
  <c r="E25" i="10" s="1"/>
  <c r="E20" i="12"/>
  <c r="E17" i="12"/>
  <c r="H14" i="8"/>
  <c r="H6" i="11"/>
  <c r="H11" i="11" s="1"/>
  <c r="H13" i="11" s="1"/>
  <c r="G7" i="13"/>
  <c r="G9" i="9"/>
  <c r="G10" i="9" s="1"/>
  <c r="H7" i="12"/>
  <c r="G7" i="14"/>
  <c r="G12" i="14" s="1"/>
  <c r="G19" i="9"/>
  <c r="G14" i="13"/>
  <c r="H13" i="12"/>
  <c r="G14" i="14"/>
  <c r="H12" i="11"/>
  <c r="H15" i="8" s="1"/>
  <c r="E30" i="9"/>
  <c r="E31" i="9"/>
  <c r="F19" i="10"/>
  <c r="F21" i="10" s="1"/>
  <c r="G21" i="8"/>
  <c r="F14" i="11"/>
  <c r="F15" i="12"/>
  <c r="E18" i="13"/>
  <c r="E18" i="14"/>
  <c r="D30" i="9"/>
  <c r="E24" i="10" s="1"/>
  <c r="E19" i="10"/>
  <c r="E21" i="10" s="1"/>
  <c r="F21" i="8"/>
  <c r="F22" i="8" s="1"/>
  <c r="F24" i="8" s="1"/>
  <c r="E14" i="11"/>
  <c r="D18" i="13"/>
  <c r="D18" i="14"/>
  <c r="G26" i="9"/>
  <c r="G12" i="13"/>
  <c r="G16" i="13" s="1"/>
  <c r="H12" i="12"/>
  <c r="H14" i="12" s="1"/>
  <c r="F27" i="9"/>
  <c r="G22" i="8"/>
  <c r="G16" i="14" l="1"/>
  <c r="E22" i="12"/>
  <c r="E32" i="12" s="1"/>
  <c r="F7" i="10"/>
  <c r="F10" i="10" s="1"/>
  <c r="F16" i="10" s="1"/>
  <c r="G8" i="8"/>
  <c r="G12" i="8" s="1"/>
  <c r="G24" i="8" s="1"/>
  <c r="F28" i="9"/>
  <c r="F29" i="9" s="1"/>
  <c r="D24" i="14"/>
  <c r="E19" i="14"/>
  <c r="E24" i="14" s="1"/>
  <c r="D20" i="14"/>
  <c r="D26" i="14" s="1"/>
  <c r="D36" i="14" s="1"/>
  <c r="D24" i="13"/>
  <c r="E19" i="13"/>
  <c r="E24" i="13" s="1"/>
  <c r="D20" i="13"/>
  <c r="D26" i="13" s="1"/>
  <c r="D36" i="13" s="1"/>
  <c r="F16" i="12"/>
  <c r="F20" i="12" s="1"/>
  <c r="E19" i="11"/>
  <c r="F15" i="11"/>
  <c r="E16" i="11"/>
  <c r="E21" i="11" s="1"/>
  <c r="E30" i="11" s="1"/>
  <c r="F19" i="14"/>
  <c r="E20" i="14"/>
  <c r="F19" i="13"/>
  <c r="E20" i="13"/>
  <c r="G16" i="12"/>
  <c r="F17" i="12"/>
  <c r="F19" i="11"/>
  <c r="G15" i="11"/>
  <c r="F16" i="11"/>
  <c r="F21" i="11" s="1"/>
  <c r="F30" i="11" s="1"/>
  <c r="D32" i="9"/>
  <c r="E26" i="10" s="1"/>
  <c r="F27" i="10" s="1"/>
  <c r="F25" i="10"/>
  <c r="E32" i="9"/>
  <c r="F26" i="10" s="1"/>
  <c r="F24" i="10"/>
  <c r="G27" i="9"/>
  <c r="C36" i="11" l="1"/>
  <c r="C34" i="11"/>
  <c r="C35" i="11"/>
  <c r="E26" i="13"/>
  <c r="E36" i="13" s="1"/>
  <c r="E49" i="13" s="1"/>
  <c r="E26" i="14"/>
  <c r="E36" i="14" s="1"/>
  <c r="E48" i="14" s="1"/>
  <c r="F22" i="12"/>
  <c r="F32" i="12" s="1"/>
  <c r="F44" i="12" s="1"/>
  <c r="F28" i="10"/>
  <c r="F29" i="10" s="1"/>
  <c r="G28" i="9"/>
  <c r="G29" i="9" s="1"/>
  <c r="F43" i="11"/>
  <c r="F42" i="11"/>
  <c r="E49" i="14"/>
  <c r="E42" i="11"/>
  <c r="E43" i="11"/>
  <c r="C45" i="11" s="1"/>
  <c r="E44" i="12"/>
  <c r="C46" i="12" s="1"/>
  <c r="E45" i="12"/>
  <c r="D48" i="13"/>
  <c r="D49" i="13"/>
  <c r="D48" i="14"/>
  <c r="D49" i="14"/>
  <c r="F30" i="9"/>
  <c r="G24" i="10" s="1"/>
  <c r="F31" i="9"/>
  <c r="G25" i="10" s="1"/>
  <c r="G19" i="10"/>
  <c r="G21" i="10" s="1"/>
  <c r="H21" i="8"/>
  <c r="H22" i="8" s="1"/>
  <c r="G14" i="11"/>
  <c r="G15" i="12"/>
  <c r="F18" i="13"/>
  <c r="F18" i="14"/>
  <c r="G7" i="10"/>
  <c r="G10" i="10" s="1"/>
  <c r="G16" i="10" s="1"/>
  <c r="H8" i="8"/>
  <c r="H12" i="8" s="1"/>
  <c r="G27" i="10"/>
  <c r="E28" i="10"/>
  <c r="E29" i="10" s="1"/>
  <c r="E30" i="10" s="1"/>
  <c r="F30" i="10"/>
  <c r="C38" i="12" l="1"/>
  <c r="C36" i="12"/>
  <c r="C37" i="12"/>
  <c r="C46" i="11"/>
  <c r="C44" i="11"/>
  <c r="E48" i="13"/>
  <c r="F45" i="12"/>
  <c r="C47" i="12" s="1"/>
  <c r="H24" i="8"/>
  <c r="H7" i="10" s="1"/>
  <c r="H10" i="10" s="1"/>
  <c r="H16" i="10" s="1"/>
  <c r="F24" i="14"/>
  <c r="G19" i="14"/>
  <c r="F20" i="14"/>
  <c r="F26" i="14" s="1"/>
  <c r="F36" i="14" s="1"/>
  <c r="F24" i="13"/>
  <c r="G19" i="13"/>
  <c r="F20" i="13"/>
  <c r="F26" i="13" s="1"/>
  <c r="F36" i="13" s="1"/>
  <c r="G20" i="12"/>
  <c r="H16" i="12"/>
  <c r="G17" i="12"/>
  <c r="G22" i="12" s="1"/>
  <c r="G32" i="12" s="1"/>
  <c r="G19" i="11"/>
  <c r="H15" i="11"/>
  <c r="G16" i="11"/>
  <c r="G21" i="11" s="1"/>
  <c r="G30" i="11" s="1"/>
  <c r="G30" i="9"/>
  <c r="H24" i="10" s="1"/>
  <c r="G31" i="9"/>
  <c r="H25" i="10" s="1"/>
  <c r="H19" i="10"/>
  <c r="H21" i="10" s="1"/>
  <c r="H14" i="11"/>
  <c r="H15" i="12"/>
  <c r="G18" i="13"/>
  <c r="G18" i="14"/>
  <c r="F32" i="9"/>
  <c r="G26" i="10" s="1"/>
  <c r="H27" i="10" s="1"/>
  <c r="G28" i="10" l="1"/>
  <c r="G29" i="10" s="1"/>
  <c r="G30" i="10" s="1"/>
  <c r="G24" i="14"/>
  <c r="G20" i="14"/>
  <c r="G26" i="14" s="1"/>
  <c r="G36" i="14" s="1"/>
  <c r="G24" i="13"/>
  <c r="G20" i="13"/>
  <c r="G26" i="13" s="1"/>
  <c r="G36" i="13" s="1"/>
  <c r="H20" i="12"/>
  <c r="H17" i="12"/>
  <c r="H22" i="12" s="1"/>
  <c r="H32" i="12" s="1"/>
  <c r="H19" i="11"/>
  <c r="H16" i="11"/>
  <c r="H21" i="11" s="1"/>
  <c r="H30" i="11" s="1"/>
  <c r="G43" i="11"/>
  <c r="G42" i="11"/>
  <c r="G45" i="12"/>
  <c r="G44" i="12"/>
  <c r="F49" i="13"/>
  <c r="F48" i="13"/>
  <c r="B41" i="13"/>
  <c r="B40" i="13"/>
  <c r="F49" i="14"/>
  <c r="F48" i="14"/>
  <c r="B41" i="14"/>
  <c r="B40" i="14"/>
  <c r="G32" i="9"/>
  <c r="H26" i="10" s="1"/>
  <c r="H28" i="10" s="1"/>
  <c r="H29" i="10" s="1"/>
  <c r="H30" i="10" s="1"/>
  <c r="H43" i="11" l="1"/>
  <c r="H42" i="11"/>
  <c r="H44" i="12"/>
  <c r="H45" i="12"/>
  <c r="G49" i="13"/>
  <c r="B51" i="13" s="1"/>
  <c r="G48" i="13"/>
  <c r="B50" i="13" s="1"/>
  <c r="G49" i="14"/>
  <c r="G48" i="14"/>
  <c r="B50" i="14" s="1"/>
  <c r="B51" i="14"/>
  <c r="C38" i="11" l="1"/>
  <c r="B43" i="14"/>
  <c r="B43" i="13"/>
  <c r="C40" i="12"/>
  <c r="B52" i="13"/>
  <c r="B44" i="13" s="1"/>
  <c r="B52" i="14"/>
  <c r="B44" i="14" s="1"/>
</calcChain>
</file>

<file path=xl/comments1.xml><?xml version="1.0" encoding="utf-8"?>
<comments xmlns="http://schemas.openxmlformats.org/spreadsheetml/2006/main">
  <authors>
    <author>JAVIER MARTINEZ</author>
  </authors>
  <commentList>
    <comment ref="D19" authorId="0" shapeId="0">
      <text>
        <r>
          <rPr>
            <b/>
            <sz val="8"/>
            <color indexed="81"/>
            <rFont val="Tahoma"/>
            <family val="2"/>
          </rPr>
          <t>JAVIER MARTINEZ:</t>
        </r>
        <r>
          <rPr>
            <sz val="8"/>
            <color indexed="81"/>
            <rFont val="Tahoma"/>
            <family val="2"/>
          </rPr>
          <t xml:space="preserve">
Como % de las ventas </t>
        </r>
      </text>
    </comment>
  </commentList>
</comments>
</file>

<file path=xl/sharedStrings.xml><?xml version="1.0" encoding="utf-8"?>
<sst xmlns="http://schemas.openxmlformats.org/spreadsheetml/2006/main" count="653" uniqueCount="333">
  <si>
    <t xml:space="preserve"> </t>
  </si>
  <si>
    <t>Concepto</t>
  </si>
  <si>
    <t>Utilidad Bruta</t>
  </si>
  <si>
    <t>VPN</t>
  </si>
  <si>
    <t>TIO</t>
  </si>
  <si>
    <t>TIR</t>
  </si>
  <si>
    <t>CONCEPTO</t>
  </si>
  <si>
    <t>AÑO 1</t>
  </si>
  <si>
    <t>INGRESOS</t>
  </si>
  <si>
    <t>Ventas</t>
  </si>
  <si>
    <t>Caja inicial</t>
  </si>
  <si>
    <t>TOTAL INGRESOS</t>
  </si>
  <si>
    <t>EGRESOS</t>
  </si>
  <si>
    <t>TOTAL EGRESOS</t>
  </si>
  <si>
    <t>Aporte de capital</t>
  </si>
  <si>
    <t>Pagos de impuestos</t>
  </si>
  <si>
    <t>Utilidad por distribuir</t>
  </si>
  <si>
    <t>B/C</t>
  </si>
  <si>
    <t>Caja y Bancos</t>
  </si>
  <si>
    <t>Corriente</t>
  </si>
  <si>
    <t>Inventario</t>
  </si>
  <si>
    <t>PASIVOS</t>
  </si>
  <si>
    <t>Cuentas por pagar</t>
  </si>
  <si>
    <t>Aportes de Capital</t>
  </si>
  <si>
    <t>Reserva Legal</t>
  </si>
  <si>
    <t>Reserva de proyectos</t>
  </si>
  <si>
    <t>Impuestos por Pagar</t>
  </si>
  <si>
    <t>Impuesto de Renta</t>
  </si>
  <si>
    <t>Otros Activos</t>
  </si>
  <si>
    <t>Utilidades del periodo</t>
  </si>
  <si>
    <t>INTERES</t>
  </si>
  <si>
    <t>ABONO A CAPITAL</t>
  </si>
  <si>
    <t>SALDO</t>
  </si>
  <si>
    <t>Gasto de intereses</t>
  </si>
  <si>
    <t>Pago de intereses</t>
  </si>
  <si>
    <t>CALCULO  DETALLADO DE NOMINA POR AÑO</t>
  </si>
  <si>
    <t>ACTIVO</t>
  </si>
  <si>
    <t>ANALISIS FINANCIERO</t>
  </si>
  <si>
    <t>CUENTA CONTABLE</t>
  </si>
  <si>
    <t>Total Propiedad, Planta y Equipo</t>
  </si>
  <si>
    <t>TOTAL ACTIVO</t>
  </si>
  <si>
    <t>TOTAL PASIVO</t>
  </si>
  <si>
    <t>PATRIMONIO</t>
  </si>
  <si>
    <t>TOTAL PATRIMONIO</t>
  </si>
  <si>
    <t>TOTAL PASIVO Y PATRIMONIO</t>
  </si>
  <si>
    <t>TOTAL VENTAS</t>
  </si>
  <si>
    <t>ADMINISTRATIVOS</t>
  </si>
  <si>
    <t>GASTO DE VENTAS</t>
  </si>
  <si>
    <t>Imprevistos</t>
  </si>
  <si>
    <t>TOTAL DIARIO</t>
  </si>
  <si>
    <t>Total gastos administrativos</t>
  </si>
  <si>
    <t>TOTAL  AÑO</t>
  </si>
  <si>
    <t>ANALISIS FINANCIACION PRESTAMO BANCARIO</t>
  </si>
  <si>
    <t>Gastos Administrativos</t>
  </si>
  <si>
    <t xml:space="preserve"> CALCULO CAPITAL DE TRABAJO</t>
  </si>
  <si>
    <t>GASTOS DE PERSONAL</t>
  </si>
  <si>
    <t>Sueldos</t>
  </si>
  <si>
    <t>VENTAS</t>
  </si>
  <si>
    <t>Prestaciones sociales</t>
  </si>
  <si>
    <t>TOTAL GASTOS</t>
  </si>
  <si>
    <t>PRODUCTO/UNIDADES</t>
  </si>
  <si>
    <t>Producto C</t>
  </si>
  <si>
    <t>TOTAL</t>
  </si>
  <si>
    <t xml:space="preserve">  </t>
  </si>
  <si>
    <t>GASTO DE PRODUCCION</t>
  </si>
  <si>
    <t>PRODUCCION</t>
  </si>
  <si>
    <t>Otros</t>
  </si>
  <si>
    <t>INVER INICIAL</t>
  </si>
  <si>
    <t>Gastos ventas</t>
  </si>
  <si>
    <t>INVERSIONES FIJAS</t>
  </si>
  <si>
    <t>INVERSIONES DIFERIDAS</t>
  </si>
  <si>
    <t>TOTAL INVERSION INICIAL</t>
  </si>
  <si>
    <t>FUENTES DE FINANCIACION</t>
  </si>
  <si>
    <t>CAPITAL PROPIO</t>
  </si>
  <si>
    <t>PRESTAMO BANCARIO 2</t>
  </si>
  <si>
    <t>PRESTAMO BANCARIO 1</t>
  </si>
  <si>
    <t>PRESTAMO BANCARIO 3</t>
  </si>
  <si>
    <t>VALOR INVERSION</t>
  </si>
  <si>
    <t>% PARTIC.</t>
  </si>
  <si>
    <t>TIEMPO</t>
  </si>
  <si>
    <t>IMPUESTO RENTA</t>
  </si>
  <si>
    <t>RESERVA LEGAL</t>
  </si>
  <si>
    <t>OTRAS RESERVAS</t>
  </si>
  <si>
    <t>Compra de activos fijos</t>
  </si>
  <si>
    <t>RECUPERACION INVERSION</t>
  </si>
  <si>
    <t>%</t>
  </si>
  <si>
    <t>VALOR</t>
  </si>
  <si>
    <t>Diferidos</t>
  </si>
  <si>
    <t>FACTORES DE RIESGO</t>
  </si>
  <si>
    <t>COSTOS</t>
  </si>
  <si>
    <t>GASTOS</t>
  </si>
  <si>
    <t xml:space="preserve">FLUJO DE CAJA PROYECTADO  </t>
  </si>
  <si>
    <t>FLUJO PARA CALCULAR BENEFICIO COSTO</t>
  </si>
  <si>
    <t>FLUJO DE INGRESOS</t>
  </si>
  <si>
    <t>VPN INGRESOS</t>
  </si>
  <si>
    <t>VPN EGRESOS</t>
  </si>
  <si>
    <t>FLUJO DE EGRESOS</t>
  </si>
  <si>
    <t>IMPUESTOS</t>
  </si>
  <si>
    <t>CUOTA MES VENCIDO</t>
  </si>
  <si>
    <t>CUOTA MAS ANTICIPADO</t>
  </si>
  <si>
    <t xml:space="preserve">DIFERENCIA </t>
  </si>
  <si>
    <t>TVR</t>
  </si>
  <si>
    <t>VFI</t>
  </si>
  <si>
    <t>NUMERO PERIODOS</t>
  </si>
  <si>
    <t>PE</t>
  </si>
  <si>
    <t>Aportes sociales</t>
  </si>
  <si>
    <t>Aportes patronales</t>
  </si>
  <si>
    <t>Prestaciones de ley</t>
  </si>
  <si>
    <t>Vacaciones</t>
  </si>
  <si>
    <t>Prima</t>
  </si>
  <si>
    <t>TOTAL APORTES</t>
  </si>
  <si>
    <t xml:space="preserve">Prestaciones sociales </t>
  </si>
  <si>
    <t>Aportes fiscales</t>
  </si>
  <si>
    <t>Incremento % año</t>
  </si>
  <si>
    <t>Cant</t>
  </si>
  <si>
    <t>Sueldo</t>
  </si>
  <si>
    <t>Aux. Trans.</t>
  </si>
  <si>
    <t>RELACION DE GASTOS DE FUNCIONAMIENTO</t>
  </si>
  <si>
    <t>VALOR INVERSION INICIAL</t>
  </si>
  <si>
    <t>Seguros</t>
  </si>
  <si>
    <t>Gastos legales</t>
  </si>
  <si>
    <t>Mantenimiento reparaciones</t>
  </si>
  <si>
    <t>Nomina</t>
  </si>
  <si>
    <t>Gastos de funcionamiento</t>
  </si>
  <si>
    <t>Gastos de personal</t>
  </si>
  <si>
    <t>Costo de ventas</t>
  </si>
  <si>
    <t>Gastos administrativos</t>
  </si>
  <si>
    <t>Total gasto de personal</t>
  </si>
  <si>
    <t>Gastos de ventas</t>
  </si>
  <si>
    <t>Total gastos de ventas</t>
  </si>
  <si>
    <t>Total gastos</t>
  </si>
  <si>
    <t>Utilidad operacional</t>
  </si>
  <si>
    <t>Reserva legal</t>
  </si>
  <si>
    <t>Inversiones futuras</t>
  </si>
  <si>
    <t>Total Otros Activos</t>
  </si>
  <si>
    <t>Utilidades Acumuladas</t>
  </si>
  <si>
    <t>Gastos personal</t>
  </si>
  <si>
    <t>Utilidad Operacional</t>
  </si>
  <si>
    <t>Impuestos causados</t>
  </si>
  <si>
    <t>Impuestos pagados</t>
  </si>
  <si>
    <t>Utilidad Neta</t>
  </si>
  <si>
    <t>Diferencia impuestos</t>
  </si>
  <si>
    <t>Total flujo de caja</t>
  </si>
  <si>
    <t>Inversiones fijas</t>
  </si>
  <si>
    <t>Inversiones diferidas</t>
  </si>
  <si>
    <t xml:space="preserve">Total </t>
  </si>
  <si>
    <t>Flujo neto de fondos</t>
  </si>
  <si>
    <t>Utilidad bruta</t>
  </si>
  <si>
    <t>Utilidad neta</t>
  </si>
  <si>
    <t>Mano obra directa</t>
  </si>
  <si>
    <t>Total</t>
  </si>
  <si>
    <t>Incremento % precios</t>
  </si>
  <si>
    <t>Gasto depreciación</t>
  </si>
  <si>
    <t>Gasto amortización</t>
  </si>
  <si>
    <t>Depreciación</t>
  </si>
  <si>
    <t>Amortización</t>
  </si>
  <si>
    <t>Amortización intereses</t>
  </si>
  <si>
    <t>Flujo de inversión</t>
  </si>
  <si>
    <t>Préstamo</t>
  </si>
  <si>
    <t>Amortización del préstamo</t>
  </si>
  <si>
    <t>Costo mercancía</t>
  </si>
  <si>
    <t>Utilidad después de impuestos</t>
  </si>
  <si>
    <t>Amortización préstamo</t>
  </si>
  <si>
    <t>Gastos de iniciación y montaje</t>
  </si>
  <si>
    <t>Servicios  públicos</t>
  </si>
  <si>
    <t>Servicios transporte y fletes</t>
  </si>
  <si>
    <t>Incremento % gastos</t>
  </si>
  <si>
    <t>Costos indir. Fabricación</t>
  </si>
  <si>
    <t>Vida útil</t>
  </si>
  <si>
    <t>Cesantías</t>
  </si>
  <si>
    <t>Intereses cesantías</t>
  </si>
  <si>
    <t>Nombre de la Compañía</t>
  </si>
  <si>
    <t>A 1 Año</t>
  </si>
  <si>
    <t xml:space="preserve">Nombre </t>
  </si>
  <si>
    <t>Precio de Venta</t>
  </si>
  <si>
    <t>PRODUCTOS</t>
  </si>
  <si>
    <t>% Incremento Precios</t>
  </si>
  <si>
    <t>PRESUPUESTO DE COMPRA Y VENTAS</t>
  </si>
  <si>
    <t>Auxilio de Transporte</t>
  </si>
  <si>
    <t>% Aportes Patronales</t>
  </si>
  <si>
    <t>Prestaciones de Ley</t>
  </si>
  <si>
    <t>% Incremento Año</t>
  </si>
  <si>
    <t>Personal Administrativo</t>
  </si>
  <si>
    <t>Cantidad</t>
  </si>
  <si>
    <t>Salario</t>
  </si>
  <si>
    <t>Personal de Ventas</t>
  </si>
  <si>
    <t>Descripción</t>
  </si>
  <si>
    <t>Otras Reservas</t>
  </si>
  <si>
    <t>Inversión Inicial</t>
  </si>
  <si>
    <t>INVERSIÓN INICIAL</t>
  </si>
  <si>
    <t>INVERSION INICIAL</t>
  </si>
  <si>
    <t>Inversiones Fijas</t>
  </si>
  <si>
    <t>Inversiones Diferidas</t>
  </si>
  <si>
    <t>Porcentaje Fuentes de Financiación</t>
  </si>
  <si>
    <t>Capital Propio</t>
  </si>
  <si>
    <t>EVALUACIÓN FINANCIERA DE PROYECTOS</t>
  </si>
  <si>
    <t>FINANCIACIÓN</t>
  </si>
  <si>
    <t>Tiempo en Años</t>
  </si>
  <si>
    <t>PRECIO VENTA / AÑO</t>
  </si>
  <si>
    <t>GASTOS GENERALES</t>
  </si>
  <si>
    <t>Gastos de Ventas</t>
  </si>
  <si>
    <t>Costos Indirectos de Fabricación</t>
  </si>
  <si>
    <t>DIAS PARA CAPITAL DE TRABAJO</t>
  </si>
  <si>
    <t>Capacidad Instalada</t>
  </si>
  <si>
    <t>RELACION DE INVERSIONES FIJAS Y DIFERIDAS - GASTOS DE DEPRECIACIÓN Y AMORTIZACIÓN</t>
  </si>
  <si>
    <t>INVERSIONES FIJAS Y DIFERIDAS</t>
  </si>
  <si>
    <t>Capital de trabajo cartera</t>
  </si>
  <si>
    <t>Capital de trabajo Costos y Gastos</t>
  </si>
  <si>
    <t>Capital de Trabajo para Cartera</t>
  </si>
  <si>
    <t>CAP. DE TRAB. COS. Y GAS.</t>
  </si>
  <si>
    <t>CAP. DE TRAB. CARTERA.</t>
  </si>
  <si>
    <t>Capital de trab. de Cartera</t>
  </si>
  <si>
    <t>Capital de Trabajo de cos. Y gas.</t>
  </si>
  <si>
    <t>TOTAL DIAS</t>
  </si>
  <si>
    <t>Unidad de Medida Periodos</t>
  </si>
  <si>
    <t>Meses</t>
  </si>
  <si>
    <t>Años</t>
  </si>
  <si>
    <t>Vida Útil (En Años)</t>
  </si>
  <si>
    <t xml:space="preserve">ANALISIS DE SENSIBILIDAD - FLUJO DE CAJA DEL PROYECTO </t>
  </si>
  <si>
    <t>ANALISIS DE SENSIBILIDAD - FLUJO DE CAJA DEL  INVERSIONISTA.</t>
  </si>
  <si>
    <t>Parámetros Generales</t>
  </si>
  <si>
    <t>Número de Periodos</t>
  </si>
  <si>
    <t>Salario Mínimo</t>
  </si>
  <si>
    <t>% Aportes Sociales</t>
  </si>
  <si>
    <t>Préstamo Bancario 1</t>
  </si>
  <si>
    <t>Préstamo Bancario 2</t>
  </si>
  <si>
    <t>Préstamo Bancario 3</t>
  </si>
  <si>
    <t>Tasa de Interés</t>
  </si>
  <si>
    <t>Lista Tipo de Inversión</t>
  </si>
  <si>
    <t>No. SMLV Aux. Transporte</t>
  </si>
  <si>
    <t>Gastos de Nomina</t>
  </si>
  <si>
    <t>Gastos Generales</t>
  </si>
  <si>
    <t>Unid.   Produc. Año/mes  1</t>
  </si>
  <si>
    <t>A</t>
  </si>
  <si>
    <t>B</t>
  </si>
  <si>
    <t>C</t>
  </si>
  <si>
    <t>Pto Vtas Contado</t>
  </si>
  <si>
    <t>Pto Vtas Credito</t>
  </si>
  <si>
    <t>Factores integrantes del capital de trabajo</t>
  </si>
  <si>
    <t>CREDITO</t>
  </si>
  <si>
    <t>CONTADO</t>
  </si>
  <si>
    <t>PORCENTEJE CREDITO</t>
  </si>
  <si>
    <t>PORCENTAJE CONTADO</t>
  </si>
  <si>
    <t>Gastos de viaje</t>
  </si>
  <si>
    <t>Propaganda y publicidad</t>
  </si>
  <si>
    <t>Elementos de aseo y cafeteria</t>
  </si>
  <si>
    <t>Utiles y Papeleria</t>
  </si>
  <si>
    <t>Combustibles y Lubricantes</t>
  </si>
  <si>
    <t>Envases y Empaques</t>
  </si>
  <si>
    <t>Comisiones</t>
  </si>
  <si>
    <t>% Comisiones sob/ vtas  contado</t>
  </si>
  <si>
    <t>credito</t>
  </si>
  <si>
    <t>VALOR DIA PARA CAP. TRAB. CARTERA</t>
  </si>
  <si>
    <t>DIAS PARA CAP TRAB CARTERA</t>
  </si>
  <si>
    <t xml:space="preserve">ANALISIS  DEL FLUJO DE CAJA DEL PROYECTO </t>
  </si>
  <si>
    <t>Amort.  Diferi.(En Años)</t>
  </si>
  <si>
    <t>PRESTAMOS</t>
  </si>
  <si>
    <t>TIR MODIFICADA</t>
  </si>
  <si>
    <t>Personal de Proyecto</t>
  </si>
  <si>
    <t>PRESTAMO 1</t>
  </si>
  <si>
    <t>PRESTAMO 2</t>
  </si>
  <si>
    <t>Materiales y Equipos</t>
  </si>
  <si>
    <t>Costos indirectos del Proyecto</t>
  </si>
  <si>
    <t>PRESTAMO 3</t>
  </si>
  <si>
    <t xml:space="preserve">Días para Cap. de Trabajo </t>
  </si>
  <si>
    <t xml:space="preserve">NIVEL DE UTILIZACION 
CAPACIDAD INSATALADA      </t>
  </si>
  <si>
    <t>FIN INFORMACION REQUERIDA</t>
  </si>
  <si>
    <t>PRODUCTO O
 SERVICIO 1</t>
  </si>
  <si>
    <t>PRODUCTO O 
SERVICIO 2</t>
  </si>
  <si>
    <t>PRODUCTO O 
SERVICIO 3</t>
  </si>
  <si>
    <t>Costo de compra 
Equipos y Sumunistros  2</t>
  </si>
  <si>
    <t>Costo de compra 
Equipos y Sumunistros 1</t>
  </si>
  <si>
    <t>Costo de compra 
Equipos y Sumunistros  3</t>
  </si>
  <si>
    <r>
      <rPr>
        <b/>
        <sz val="14"/>
        <color theme="1"/>
        <rFont val="Calibri"/>
        <family val="2"/>
        <scheme val="minor"/>
      </rPr>
      <t>Incremento porcentual</t>
    </r>
    <r>
      <rPr>
        <b/>
        <sz val="11"/>
        <color theme="1"/>
        <rFont val="Calibri"/>
        <family val="2"/>
        <scheme val="minor"/>
      </rPr>
      <t xml:space="preserve"> (%) capacidad instalada</t>
    </r>
  </si>
  <si>
    <t>POLITICA DE CARTERA</t>
  </si>
  <si>
    <t>COMPRAS PROYECTADAS</t>
  </si>
  <si>
    <t>PROYECCION ANNUAL DEL RECAUDO Y CARTERA DE COBRO</t>
  </si>
  <si>
    <t>PRESTACIONES SOCIALES Y PARAFISCALES</t>
  </si>
  <si>
    <t>SUELDOS NOMINA ADMINISTRATIVA</t>
  </si>
  <si>
    <t>SUELDOS NOMINA DE VENTAS</t>
  </si>
  <si>
    <t>SUELDOS NOMINA PRODUCCION</t>
  </si>
  <si>
    <t>PROYECCION GASTOS  DE VENTAS ANUALES</t>
  </si>
  <si>
    <t>PROYECCION GASTOS ADMINISTRATIVOS ANUALES</t>
  </si>
  <si>
    <t>PROYECCION GASTOS  DE PRODUCCION</t>
  </si>
  <si>
    <t>SALDO FINAL DE CAJA</t>
  </si>
  <si>
    <t xml:space="preserve">TOTAL   </t>
  </si>
  <si>
    <t>PERIODO</t>
  </si>
  <si>
    <t>TOTAL ACTIVO CORRIENTE</t>
  </si>
  <si>
    <t xml:space="preserve">BALANCE GENERAL PROYECTADO </t>
  </si>
  <si>
    <t>Propiedad Planta y equipo Neto</t>
  </si>
  <si>
    <t>ANALISIS  DEL FLUJO DE CAJA DEL  INVERSIONISTA</t>
  </si>
  <si>
    <t>Flujo Neto de Caja</t>
  </si>
  <si>
    <t>ESTADO DE RESULTADOS PROYECTADO</t>
  </si>
  <si>
    <t>Compra Equipos y Suministros</t>
  </si>
  <si>
    <t>Porcentaje Recuperación Inversión o Valor de Salvamento</t>
  </si>
  <si>
    <t>TOTAL CAPITAL DE TRABAJO MENSUAL</t>
  </si>
  <si>
    <t>PROYECCION DE LOS GASTOS DE PERSONAL</t>
  </si>
  <si>
    <t>Administrador de Redes</t>
  </si>
  <si>
    <t xml:space="preserve">Costo </t>
  </si>
  <si>
    <t>Costos</t>
  </si>
  <si>
    <t>BENEFICIOS  TOTALES / AÑO</t>
  </si>
  <si>
    <t>BENEFICIOS TOTALES / AÑO</t>
  </si>
  <si>
    <t>Ingresos por  Matriculas de  Contado</t>
  </si>
  <si>
    <t>Papeleria</t>
  </si>
  <si>
    <t>Beneficios  estimados</t>
  </si>
  <si>
    <t>Ingresos por Beneficio</t>
  </si>
  <si>
    <t>Cartera</t>
  </si>
  <si>
    <t>Ingresos por Rotacion Cartera</t>
  </si>
  <si>
    <t>Web 2 E Vistitic</t>
  </si>
  <si>
    <t>Kit E Vistetic</t>
  </si>
  <si>
    <t>Formula Magistral</t>
  </si>
  <si>
    <t>Agentes Informacion</t>
  </si>
  <si>
    <t>Gerente Financiero</t>
  </si>
  <si>
    <t>Gerente de Marketing</t>
  </si>
  <si>
    <t>Gerente Tecnologia Y Procesos</t>
  </si>
  <si>
    <t>Analista</t>
  </si>
  <si>
    <t>Herramienta Web 2</t>
  </si>
  <si>
    <t>Software Contable</t>
  </si>
  <si>
    <t>Muebles &amp; Enseres</t>
  </si>
  <si>
    <t>Outsourcing Vigilancia</t>
  </si>
  <si>
    <t>Outsourcing Contable y Juridico</t>
  </si>
  <si>
    <t>Estudios de Prefactibilidad</t>
  </si>
  <si>
    <t>Gastos de Constitucion de la Sociedad</t>
  </si>
  <si>
    <t>Certificado de Patente</t>
  </si>
  <si>
    <t>Outsourcing Laboratorio</t>
  </si>
  <si>
    <t>Modulo Antifraude</t>
  </si>
  <si>
    <t>PROYECTO E-VISTETIC S.A.</t>
  </si>
  <si>
    <t>Servicios Publicos</t>
  </si>
  <si>
    <t>Internet Banda Ancha 25 Gigas</t>
  </si>
  <si>
    <t>PROYECCION TOTAL DE BENEFICIOS  ANUALES EN PESOS</t>
  </si>
  <si>
    <t>PROYECCION DE PRECIO PORTAFOLIO DE SERVICIOS</t>
  </si>
  <si>
    <t>PROYECCION DE LA CAPACIDAD INSTALADA PORTAFOLIO DE SERVICIOS</t>
  </si>
  <si>
    <t>AUMENTO EN CAPACIAD INSTALADA DEL PORTAFOLIO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</si>
</sst>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-* #,##0.00\ _$_-;\-* #,##0.00\ _$_-;_-* &quot;-&quot;??\ _$_-;_-@_-"/>
    <numFmt numFmtId="168" formatCode="&quot;$&quot;\ #,##0.00;[Red]&quot;$&quot;\ \-#,##0.00"/>
    <numFmt numFmtId="169" formatCode="#,##0_ ;[Red]\-#,##0\ "/>
    <numFmt numFmtId="170" formatCode="_-* #,##0\ _$_-;\-* #,##0\ _$_-;_-* &quot;-&quot;??\ _$_-;_-@_-"/>
    <numFmt numFmtId="171" formatCode="_(&quot;$&quot;\ * #,##0_);_(&quot;$&quot;\ * \(#,##0\);_(&quot;$&quot;\ * &quot;-&quot;??_);_(@_)"/>
    <numFmt numFmtId="172" formatCode="_(* #,##0.00_);_(* \(#,##0.00\);_(* &quot;-&quot;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8"/>
      <color theme="0" tint="-0.249977111117893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2" fillId="2" borderId="44" applyNumberFormat="0" applyAlignment="0" applyProtection="0"/>
  </cellStyleXfs>
  <cellXfs count="332">
    <xf numFmtId="0" fontId="0" fillId="0" borderId="0" xfId="0"/>
    <xf numFmtId="0" fontId="15" fillId="3" borderId="0" xfId="0" applyFont="1" applyFill="1"/>
    <xf numFmtId="0" fontId="17" fillId="3" borderId="11" xfId="0" applyFont="1" applyFill="1" applyBorder="1" applyProtection="1"/>
    <xf numFmtId="0" fontId="17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17" fillId="3" borderId="19" xfId="0" applyFont="1" applyFill="1" applyBorder="1"/>
    <xf numFmtId="0" fontId="15" fillId="3" borderId="20" xfId="0" applyFont="1" applyFill="1" applyBorder="1" applyAlignment="1">
      <alignment horizontal="left"/>
    </xf>
    <xf numFmtId="0" fontId="17" fillId="3" borderId="11" xfId="0" applyFont="1" applyFill="1" applyBorder="1"/>
    <xf numFmtId="170" fontId="15" fillId="3" borderId="10" xfId="1" applyNumberFormat="1" applyFont="1" applyFill="1" applyBorder="1" applyProtection="1">
      <protection locked="0"/>
    </xf>
    <xf numFmtId="0" fontId="18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28" xfId="0" applyFont="1" applyFill="1" applyBorder="1"/>
    <xf numFmtId="0" fontId="17" fillId="3" borderId="17" xfId="0" applyFont="1" applyFill="1" applyBorder="1" applyAlignment="1">
      <alignment horizontal="center"/>
    </xf>
    <xf numFmtId="0" fontId="15" fillId="3" borderId="0" xfId="0" applyFont="1" applyFill="1" applyBorder="1"/>
    <xf numFmtId="0" fontId="17" fillId="3" borderId="37" xfId="0" applyFont="1" applyFill="1" applyBorder="1" applyAlignment="1">
      <alignment wrapText="1"/>
    </xf>
    <xf numFmtId="0" fontId="17" fillId="3" borderId="35" xfId="0" applyFont="1" applyFill="1" applyBorder="1"/>
    <xf numFmtId="0" fontId="17" fillId="3" borderId="30" xfId="0" applyFont="1" applyFill="1" applyBorder="1"/>
    <xf numFmtId="0" fontId="17" fillId="3" borderId="32" xfId="0" applyFont="1" applyFill="1" applyBorder="1"/>
    <xf numFmtId="0" fontId="17" fillId="3" borderId="41" xfId="0" applyFont="1" applyFill="1" applyBorder="1"/>
    <xf numFmtId="170" fontId="15" fillId="3" borderId="27" xfId="1" applyNumberFormat="1" applyFont="1" applyFill="1" applyBorder="1" applyProtection="1">
      <protection locked="0"/>
    </xf>
    <xf numFmtId="10" fontId="15" fillId="3" borderId="10" xfId="2" applyNumberFormat="1" applyFont="1" applyFill="1" applyBorder="1" applyProtection="1">
      <protection locked="0"/>
    </xf>
    <xf numFmtId="0" fontId="17" fillId="3" borderId="42" xfId="0" applyFont="1" applyFill="1" applyBorder="1"/>
    <xf numFmtId="0" fontId="17" fillId="3" borderId="43" xfId="0" applyFont="1" applyFill="1" applyBorder="1"/>
    <xf numFmtId="0" fontId="17" fillId="3" borderId="24" xfId="0" applyFont="1" applyFill="1" applyBorder="1"/>
    <xf numFmtId="0" fontId="15" fillId="3" borderId="7" xfId="0" applyFont="1" applyFill="1" applyBorder="1"/>
    <xf numFmtId="0" fontId="17" fillId="3" borderId="39" xfId="0" applyFont="1" applyFill="1" applyBorder="1"/>
    <xf numFmtId="10" fontId="15" fillId="3" borderId="26" xfId="2" applyNumberFormat="1" applyFont="1" applyFill="1" applyBorder="1" applyProtection="1">
      <protection locked="0"/>
    </xf>
    <xf numFmtId="0" fontId="17" fillId="3" borderId="12" xfId="0" applyFont="1" applyFill="1" applyBorder="1"/>
    <xf numFmtId="10" fontId="15" fillId="3" borderId="13" xfId="2" applyNumberFormat="1" applyFont="1" applyFill="1" applyBorder="1" applyProtection="1">
      <protection locked="0"/>
    </xf>
    <xf numFmtId="0" fontId="17" fillId="3" borderId="40" xfId="0" applyFont="1" applyFill="1" applyBorder="1"/>
    <xf numFmtId="10" fontId="15" fillId="3" borderId="14" xfId="2" applyNumberFormat="1" applyFont="1" applyFill="1" applyBorder="1" applyProtection="1">
      <protection locked="0"/>
    </xf>
    <xf numFmtId="0" fontId="17" fillId="3" borderId="25" xfId="0" applyFont="1" applyFill="1" applyBorder="1"/>
    <xf numFmtId="0" fontId="17" fillId="3" borderId="29" xfId="0" applyFont="1" applyFill="1" applyBorder="1"/>
    <xf numFmtId="0" fontId="17" fillId="3" borderId="19" xfId="0" applyFont="1" applyFill="1" applyBorder="1" applyAlignment="1">
      <alignment horizontal="left"/>
    </xf>
    <xf numFmtId="9" fontId="15" fillId="4" borderId="10" xfId="2" applyFont="1" applyFill="1" applyBorder="1" applyProtection="1">
      <protection locked="0"/>
    </xf>
    <xf numFmtId="170" fontId="15" fillId="4" borderId="10" xfId="1" applyNumberFormat="1" applyFont="1" applyFill="1" applyBorder="1" applyProtection="1">
      <protection locked="0"/>
    </xf>
    <xf numFmtId="170" fontId="15" fillId="4" borderId="15" xfId="1" applyNumberFormat="1" applyFont="1" applyFill="1" applyBorder="1" applyProtection="1">
      <protection locked="0"/>
    </xf>
    <xf numFmtId="170" fontId="15" fillId="4" borderId="16" xfId="1" applyNumberFormat="1" applyFont="1" applyFill="1" applyBorder="1" applyAlignment="1" applyProtection="1">
      <alignment horizontal="right"/>
      <protection locked="0"/>
    </xf>
    <xf numFmtId="170" fontId="15" fillId="4" borderId="17" xfId="1" applyNumberFormat="1" applyFont="1" applyFill="1" applyBorder="1" applyProtection="1">
      <protection locked="0"/>
    </xf>
    <xf numFmtId="9" fontId="15" fillId="4" borderId="17" xfId="2" applyFont="1" applyFill="1" applyBorder="1" applyProtection="1">
      <protection locked="0"/>
    </xf>
    <xf numFmtId="9" fontId="15" fillId="4" borderId="9" xfId="2" applyFont="1" applyFill="1" applyBorder="1" applyProtection="1">
      <protection locked="0"/>
    </xf>
    <xf numFmtId="9" fontId="15" fillId="4" borderId="33" xfId="2" applyFont="1" applyFill="1" applyBorder="1" applyProtection="1">
      <protection locked="0"/>
    </xf>
    <xf numFmtId="9" fontId="15" fillId="4" borderId="36" xfId="2" applyFont="1" applyFill="1" applyBorder="1" applyProtection="1">
      <protection locked="0"/>
    </xf>
    <xf numFmtId="9" fontId="15" fillId="4" borderId="31" xfId="2" applyFont="1" applyFill="1" applyBorder="1" applyProtection="1">
      <protection locked="0"/>
    </xf>
    <xf numFmtId="9" fontId="15" fillId="4" borderId="34" xfId="2" applyFont="1" applyFill="1" applyBorder="1" applyProtection="1">
      <protection locked="0"/>
    </xf>
    <xf numFmtId="0" fontId="15" fillId="4" borderId="15" xfId="0" applyFont="1" applyFill="1" applyBorder="1" applyProtection="1">
      <protection locked="0"/>
    </xf>
    <xf numFmtId="0" fontId="15" fillId="4" borderId="18" xfId="0" applyFont="1" applyFill="1" applyBorder="1" applyProtection="1">
      <protection locked="0"/>
    </xf>
    <xf numFmtId="170" fontId="15" fillId="4" borderId="18" xfId="1" applyNumberFormat="1" applyFont="1" applyFill="1" applyBorder="1" applyProtection="1">
      <protection locked="0"/>
    </xf>
    <xf numFmtId="0" fontId="15" fillId="4" borderId="16" xfId="0" applyFont="1" applyFill="1" applyBorder="1" applyProtection="1">
      <protection locked="0"/>
    </xf>
    <xf numFmtId="0" fontId="15" fillId="4" borderId="17" xfId="0" applyFont="1" applyFill="1" applyBorder="1" applyProtection="1">
      <protection locked="0"/>
    </xf>
    <xf numFmtId="166" fontId="15" fillId="4" borderId="18" xfId="3" applyFont="1" applyFill="1" applyBorder="1" applyProtection="1">
      <protection locked="0"/>
    </xf>
    <xf numFmtId="166" fontId="15" fillId="4" borderId="16" xfId="3" applyFont="1" applyFill="1" applyBorder="1" applyProtection="1">
      <protection locked="0"/>
    </xf>
    <xf numFmtId="170" fontId="15" fillId="4" borderId="18" xfId="1" applyNumberFormat="1" applyFont="1" applyFill="1" applyBorder="1" applyAlignment="1" applyProtection="1">
      <alignment horizontal="right"/>
      <protection locked="0"/>
    </xf>
    <xf numFmtId="0" fontId="15" fillId="4" borderId="15" xfId="0" applyFont="1" applyFill="1" applyBorder="1" applyProtection="1"/>
    <xf numFmtId="0" fontId="15" fillId="4" borderId="18" xfId="0" applyFont="1" applyFill="1" applyBorder="1" applyProtection="1"/>
    <xf numFmtId="0" fontId="15" fillId="4" borderId="16" xfId="0" applyFont="1" applyFill="1" applyBorder="1" applyProtection="1"/>
    <xf numFmtId="0" fontId="15" fillId="4" borderId="17" xfId="0" applyFont="1" applyFill="1" applyBorder="1" applyProtection="1"/>
    <xf numFmtId="0" fontId="17" fillId="3" borderId="38" xfId="0" applyFont="1" applyFill="1" applyBorder="1" applyAlignment="1">
      <alignment horizontal="center" wrapText="1"/>
    </xf>
    <xf numFmtId="0" fontId="14" fillId="3" borderId="0" xfId="0" applyFont="1" applyFill="1"/>
    <xf numFmtId="0" fontId="3" fillId="3" borderId="0" xfId="0" applyFont="1" applyFill="1"/>
    <xf numFmtId="0" fontId="3" fillId="3" borderId="0" xfId="0" applyFont="1" applyFill="1" applyBorder="1"/>
    <xf numFmtId="9" fontId="3" fillId="3" borderId="0" xfId="0" applyNumberFormat="1" applyFont="1" applyFill="1" applyBorder="1"/>
    <xf numFmtId="171" fontId="3" fillId="3" borderId="0" xfId="3" applyNumberFormat="1" applyFont="1" applyFill="1"/>
    <xf numFmtId="165" fontId="3" fillId="3" borderId="0" xfId="0" applyNumberFormat="1" applyFont="1" applyFill="1"/>
    <xf numFmtId="0" fontId="17" fillId="4" borderId="11" xfId="0" applyFont="1" applyFill="1" applyBorder="1"/>
    <xf numFmtId="167" fontId="17" fillId="4" borderId="11" xfId="1" applyFont="1" applyFill="1" applyBorder="1"/>
    <xf numFmtId="171" fontId="15" fillId="4" borderId="10" xfId="3" applyNumberFormat="1" applyFont="1" applyFill="1" applyBorder="1" applyProtection="1">
      <protection locked="0"/>
    </xf>
    <xf numFmtId="167" fontId="3" fillId="3" borderId="0" xfId="1" applyFont="1" applyFill="1" applyBorder="1"/>
    <xf numFmtId="171" fontId="15" fillId="4" borderId="18" xfId="3" applyNumberFormat="1" applyFont="1" applyFill="1" applyBorder="1" applyProtection="1">
      <protection locked="0"/>
    </xf>
    <xf numFmtId="171" fontId="15" fillId="4" borderId="18" xfId="1" applyNumberFormat="1" applyFont="1" applyFill="1" applyBorder="1" applyProtection="1">
      <protection locked="0"/>
    </xf>
    <xf numFmtId="171" fontId="15" fillId="4" borderId="15" xfId="3" applyNumberFormat="1" applyFont="1" applyFill="1" applyBorder="1" applyProtection="1">
      <protection locked="0"/>
    </xf>
    <xf numFmtId="171" fontId="15" fillId="4" borderId="16" xfId="3" applyNumberFormat="1" applyFont="1" applyFill="1" applyBorder="1" applyProtection="1">
      <protection locked="0"/>
    </xf>
    <xf numFmtId="9" fontId="15" fillId="4" borderId="8" xfId="2" applyNumberFormat="1" applyFont="1" applyFill="1" applyBorder="1" applyProtection="1">
      <protection locked="0"/>
    </xf>
    <xf numFmtId="9" fontId="15" fillId="4" borderId="10" xfId="2" applyNumberFormat="1" applyFont="1" applyFill="1" applyBorder="1" applyProtection="1">
      <protection locked="0"/>
    </xf>
    <xf numFmtId="9" fontId="15" fillId="4" borderId="20" xfId="2" applyNumberFormat="1" applyFont="1" applyFill="1" applyBorder="1" applyProtection="1">
      <protection locked="0"/>
    </xf>
    <xf numFmtId="9" fontId="15" fillId="3" borderId="7" xfId="0" applyNumberFormat="1" applyFont="1" applyFill="1" applyBorder="1"/>
    <xf numFmtId="9" fontId="15" fillId="3" borderId="7" xfId="2" applyNumberFormat="1" applyFont="1" applyFill="1" applyBorder="1" applyProtection="1">
      <protection locked="0"/>
    </xf>
    <xf numFmtId="170" fontId="15" fillId="4" borderId="9" xfId="1" applyNumberFormat="1" applyFont="1" applyFill="1" applyBorder="1" applyProtection="1">
      <protection locked="0"/>
    </xf>
    <xf numFmtId="0" fontId="0" fillId="3" borderId="0" xfId="0" applyFill="1" applyProtection="1">
      <protection hidden="1"/>
    </xf>
    <xf numFmtId="0" fontId="22" fillId="5" borderId="44" xfId="4" applyFont="1" applyFill="1" applyAlignment="1" applyProtection="1">
      <alignment horizontal="center"/>
      <protection hidden="1"/>
    </xf>
    <xf numFmtId="0" fontId="27" fillId="5" borderId="44" xfId="4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22" fillId="5" borderId="44" xfId="4" applyFont="1" applyFill="1" applyProtection="1">
      <protection hidden="1"/>
    </xf>
    <xf numFmtId="171" fontId="27" fillId="5" borderId="44" xfId="3" applyNumberFormat="1" applyFont="1" applyFill="1" applyBorder="1" applyProtection="1">
      <protection hidden="1"/>
    </xf>
    <xf numFmtId="0" fontId="27" fillId="5" borderId="44" xfId="4" applyFont="1" applyFill="1" applyProtection="1">
      <protection hidden="1"/>
    </xf>
    <xf numFmtId="9" fontId="27" fillId="5" borderId="44" xfId="4" applyNumberFormat="1" applyFont="1" applyFill="1" applyProtection="1">
      <protection hidden="1"/>
    </xf>
    <xf numFmtId="3" fontId="27" fillId="5" borderId="44" xfId="4" applyNumberFormat="1" applyFont="1" applyFill="1" applyProtection="1">
      <protection hidden="1"/>
    </xf>
    <xf numFmtId="0" fontId="6" fillId="3" borderId="0" xfId="0" applyFont="1" applyFill="1" applyProtection="1">
      <protection hidden="1"/>
    </xf>
    <xf numFmtId="3" fontId="6" fillId="3" borderId="0" xfId="0" applyNumberFormat="1" applyFont="1" applyFill="1" applyProtection="1">
      <protection hidden="1"/>
    </xf>
    <xf numFmtId="0" fontId="6" fillId="5" borderId="5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166" fontId="27" fillId="5" borderId="44" xfId="3" applyFont="1" applyFill="1" applyBorder="1" applyProtection="1">
      <protection hidden="1"/>
    </xf>
    <xf numFmtId="0" fontId="6" fillId="5" borderId="23" xfId="0" applyFont="1" applyFill="1" applyBorder="1" applyProtection="1">
      <protection hidden="1"/>
    </xf>
    <xf numFmtId="3" fontId="6" fillId="5" borderId="1" xfId="0" applyNumberFormat="1" applyFont="1" applyFill="1" applyBorder="1" applyProtection="1">
      <protection hidden="1"/>
    </xf>
    <xf numFmtId="170" fontId="3" fillId="3" borderId="0" xfId="1" applyNumberFormat="1" applyFont="1" applyFill="1" applyProtection="1">
      <protection hidden="1"/>
    </xf>
    <xf numFmtId="170" fontId="0" fillId="3" borderId="0" xfId="1" applyNumberFormat="1" applyFont="1" applyFill="1" applyProtection="1">
      <protection hidden="1"/>
    </xf>
    <xf numFmtId="3" fontId="6" fillId="5" borderId="2" xfId="0" applyNumberFormat="1" applyFont="1" applyFill="1" applyBorder="1" applyProtection="1">
      <protection hidden="1"/>
    </xf>
    <xf numFmtId="3" fontId="6" fillId="5" borderId="6" xfId="0" applyNumberFormat="1" applyFont="1" applyFill="1" applyBorder="1" applyProtection="1">
      <protection hidden="1"/>
    </xf>
    <xf numFmtId="0" fontId="13" fillId="5" borderId="44" xfId="4" applyFont="1" applyFill="1" applyAlignment="1" applyProtection="1">
      <alignment horizontal="center"/>
      <protection hidden="1"/>
    </xf>
    <xf numFmtId="0" fontId="2" fillId="5" borderId="44" xfId="4" applyFont="1" applyFill="1" applyProtection="1">
      <protection hidden="1"/>
    </xf>
    <xf numFmtId="164" fontId="2" fillId="5" borderId="44" xfId="4" applyNumberFormat="1" applyFont="1" applyFill="1" applyProtection="1">
      <protection hidden="1"/>
    </xf>
    <xf numFmtId="164" fontId="13" fillId="5" borderId="44" xfId="4" applyNumberFormat="1" applyFont="1" applyFill="1" applyProtection="1">
      <protection hidden="1"/>
    </xf>
    <xf numFmtId="0" fontId="13" fillId="5" borderId="44" xfId="4" applyFont="1" applyFill="1" applyProtection="1">
      <protection hidden="1"/>
    </xf>
    <xf numFmtId="0" fontId="13" fillId="5" borderId="44" xfId="4" applyFont="1" applyFill="1" applyAlignment="1" applyProtection="1">
      <alignment wrapText="1"/>
      <protection hidden="1"/>
    </xf>
    <xf numFmtId="9" fontId="13" fillId="5" borderId="44" xfId="4" applyNumberFormat="1" applyFont="1" applyFill="1" applyProtection="1">
      <protection hidden="1"/>
    </xf>
    <xf numFmtId="9" fontId="0" fillId="3" borderId="0" xfId="2" applyFont="1" applyFill="1" applyProtection="1">
      <protection hidden="1"/>
    </xf>
    <xf numFmtId="165" fontId="2" fillId="5" borderId="44" xfId="4" applyNumberFormat="1" applyFont="1" applyFill="1" applyProtection="1">
      <protection hidden="1"/>
    </xf>
    <xf numFmtId="165" fontId="13" fillId="5" borderId="44" xfId="4" applyNumberFormat="1" applyFont="1" applyFill="1" applyProtection="1">
      <protection hidden="1"/>
    </xf>
    <xf numFmtId="165" fontId="0" fillId="3" borderId="0" xfId="0" applyNumberFormat="1" applyFill="1" applyProtection="1">
      <protection hidden="1"/>
    </xf>
    <xf numFmtId="3" fontId="13" fillId="5" borderId="44" xfId="4" applyNumberFormat="1" applyFont="1" applyFill="1" applyProtection="1">
      <protection hidden="1"/>
    </xf>
    <xf numFmtId="166" fontId="0" fillId="3" borderId="0" xfId="0" applyNumberFormat="1" applyFill="1" applyProtection="1">
      <protection hidden="1"/>
    </xf>
    <xf numFmtId="9" fontId="15" fillId="3" borderId="0" xfId="0" applyNumberFormat="1" applyFont="1" applyFill="1" applyBorder="1" applyProtection="1">
      <protection hidden="1"/>
    </xf>
    <xf numFmtId="3" fontId="2" fillId="5" borderId="44" xfId="4" applyNumberFormat="1" applyFont="1" applyFill="1" applyProtection="1">
      <protection hidden="1"/>
    </xf>
    <xf numFmtId="9" fontId="2" fillId="5" borderId="44" xfId="4" applyNumberFormat="1" applyFont="1" applyFill="1" applyProtection="1">
      <protection hidden="1"/>
    </xf>
    <xf numFmtId="0" fontId="0" fillId="5" borderId="24" xfId="0" applyFill="1" applyBorder="1" applyProtection="1">
      <protection hidden="1"/>
    </xf>
    <xf numFmtId="9" fontId="0" fillId="5" borderId="7" xfId="2" applyNumberFormat="1" applyFont="1" applyFill="1" applyBorder="1" applyProtection="1">
      <protection hidden="1"/>
    </xf>
    <xf numFmtId="171" fontId="13" fillId="5" borderId="44" xfId="4" applyNumberFormat="1" applyFont="1" applyFill="1" applyProtection="1">
      <protection hidden="1"/>
    </xf>
    <xf numFmtId="166" fontId="13" fillId="5" borderId="44" xfId="4" applyNumberFormat="1" applyFont="1" applyFill="1" applyProtection="1"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13" fillId="5" borderId="55" xfId="4" applyFont="1" applyFill="1" applyBorder="1" applyAlignment="1" applyProtection="1">
      <alignment horizontal="center"/>
      <protection hidden="1"/>
    </xf>
    <xf numFmtId="0" fontId="13" fillId="5" borderId="56" xfId="4" applyFont="1" applyFill="1" applyBorder="1" applyAlignment="1" applyProtection="1">
      <alignment horizontal="center"/>
      <protection hidden="1"/>
    </xf>
    <xf numFmtId="0" fontId="13" fillId="5" borderId="57" xfId="4" applyFont="1" applyFill="1" applyBorder="1" applyAlignment="1" applyProtection="1">
      <alignment horizontal="center"/>
      <protection hidden="1"/>
    </xf>
    <xf numFmtId="0" fontId="13" fillId="5" borderId="58" xfId="4" applyFont="1" applyFill="1" applyBorder="1" applyAlignment="1" applyProtection="1">
      <alignment horizontal="center"/>
      <protection hidden="1"/>
    </xf>
    <xf numFmtId="0" fontId="13" fillId="5" borderId="44" xfId="4" applyFont="1" applyFill="1" applyBorder="1" applyAlignment="1" applyProtection="1">
      <alignment horizontal="center"/>
      <protection hidden="1"/>
    </xf>
    <xf numFmtId="0" fontId="13" fillId="5" borderId="59" xfId="4" applyFont="1" applyFill="1" applyBorder="1" applyAlignment="1" applyProtection="1">
      <alignment horizontal="center"/>
      <protection hidden="1"/>
    </xf>
    <xf numFmtId="0" fontId="2" fillId="5" borderId="58" xfId="4" applyFont="1" applyFill="1" applyBorder="1" applyProtection="1">
      <protection hidden="1"/>
    </xf>
    <xf numFmtId="0" fontId="2" fillId="5" borderId="44" xfId="4" applyFont="1" applyFill="1" applyBorder="1" applyProtection="1">
      <protection hidden="1"/>
    </xf>
    <xf numFmtId="171" fontId="13" fillId="5" borderId="44" xfId="3" applyNumberFormat="1" applyFont="1" applyFill="1" applyBorder="1" applyAlignment="1" applyProtection="1">
      <alignment horizontal="right"/>
      <protection hidden="1"/>
    </xf>
    <xf numFmtId="171" fontId="13" fillId="5" borderId="44" xfId="3" applyNumberFormat="1" applyFont="1" applyFill="1" applyBorder="1" applyProtection="1">
      <protection hidden="1"/>
    </xf>
    <xf numFmtId="171" fontId="0" fillId="3" borderId="0" xfId="3" applyNumberFormat="1" applyFont="1" applyFill="1" applyProtection="1">
      <protection hidden="1"/>
    </xf>
    <xf numFmtId="10" fontId="2" fillId="5" borderId="44" xfId="4" applyNumberFormat="1" applyFont="1" applyFill="1" applyProtection="1">
      <protection hidden="1"/>
    </xf>
    <xf numFmtId="0" fontId="2" fillId="5" borderId="44" xfId="4" applyFont="1" applyFill="1" applyAlignment="1" applyProtection="1">
      <alignment horizontal="left"/>
      <protection hidden="1"/>
    </xf>
    <xf numFmtId="0" fontId="0" fillId="3" borderId="0" xfId="0" applyFill="1" applyBorder="1" applyProtection="1">
      <protection hidden="1"/>
    </xf>
    <xf numFmtId="0" fontId="4" fillId="3" borderId="22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3" fontId="0" fillId="3" borderId="1" xfId="0" applyNumberFormat="1" applyFill="1" applyBorder="1" applyProtection="1">
      <protection hidden="1"/>
    </xf>
    <xf numFmtId="171" fontId="4" fillId="3" borderId="5" xfId="3" applyNumberFormat="1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2" xfId="0" applyFill="1" applyBorder="1" applyProtection="1">
      <protection hidden="1"/>
    </xf>
    <xf numFmtId="3" fontId="4" fillId="3" borderId="5" xfId="0" applyNumberFormat="1" applyFont="1" applyFill="1" applyBorder="1" applyProtection="1">
      <protection hidden="1"/>
    </xf>
    <xf numFmtId="0" fontId="13" fillId="5" borderId="44" xfId="4" applyFont="1" applyFill="1" applyAlignment="1" applyProtection="1">
      <alignment horizontal="right"/>
      <protection hidden="1"/>
    </xf>
    <xf numFmtId="3" fontId="0" fillId="3" borderId="0" xfId="0" applyNumberFormat="1" applyFill="1" applyBorder="1" applyProtection="1">
      <protection hidden="1"/>
    </xf>
    <xf numFmtId="171" fontId="4" fillId="3" borderId="0" xfId="3" applyNumberFormat="1" applyFont="1" applyFill="1" applyProtection="1">
      <protection hidden="1"/>
    </xf>
    <xf numFmtId="9" fontId="0" fillId="3" borderId="0" xfId="2" applyFont="1" applyFill="1" applyBorder="1" applyProtection="1">
      <protection hidden="1"/>
    </xf>
    <xf numFmtId="0" fontId="0" fillId="5" borderId="46" xfId="0" applyFill="1" applyBorder="1" applyAlignment="1" applyProtection="1">
      <protection hidden="1"/>
    </xf>
    <xf numFmtId="0" fontId="0" fillId="5" borderId="47" xfId="0" applyFill="1" applyBorder="1" applyAlignment="1" applyProtection="1">
      <protection hidden="1"/>
    </xf>
    <xf numFmtId="171" fontId="13" fillId="5" borderId="44" xfId="3" applyNumberFormat="1" applyFont="1" applyFill="1" applyBorder="1" applyAlignment="1" applyProtection="1">
      <alignment horizontal="center"/>
      <protection hidden="1"/>
    </xf>
    <xf numFmtId="0" fontId="13" fillId="5" borderId="46" xfId="4" applyFont="1" applyFill="1" applyBorder="1" applyAlignment="1" applyProtection="1">
      <protection hidden="1"/>
    </xf>
    <xf numFmtId="0" fontId="13" fillId="5" borderId="47" xfId="4" applyFont="1" applyFill="1" applyBorder="1" applyAlignment="1" applyProtection="1">
      <protection hidden="1"/>
    </xf>
    <xf numFmtId="0" fontId="13" fillId="5" borderId="63" xfId="4" applyFont="1" applyFill="1" applyBorder="1" applyAlignment="1" applyProtection="1">
      <alignment horizontal="center"/>
      <protection hidden="1"/>
    </xf>
    <xf numFmtId="165" fontId="6" fillId="3" borderId="0" xfId="0" applyNumberFormat="1" applyFont="1" applyFill="1" applyProtection="1">
      <protection hidden="1"/>
    </xf>
    <xf numFmtId="165" fontId="1" fillId="5" borderId="44" xfId="4" applyNumberFormat="1" applyFont="1" applyFill="1" applyProtection="1">
      <protection hidden="1"/>
    </xf>
    <xf numFmtId="0" fontId="22" fillId="5" borderId="44" xfId="4" applyFont="1" applyFill="1" applyAlignment="1" applyProtection="1">
      <alignment horizontal="right"/>
      <protection hidden="1"/>
    </xf>
    <xf numFmtId="171" fontId="22" fillId="5" borderId="44" xfId="3" applyNumberFormat="1" applyFont="1" applyFill="1" applyBorder="1" applyProtection="1">
      <protection hidden="1"/>
    </xf>
    <xf numFmtId="0" fontId="21" fillId="3" borderId="0" xfId="0" applyFont="1" applyFill="1" applyBorder="1" applyProtection="1">
      <protection hidden="1"/>
    </xf>
    <xf numFmtId="9" fontId="21" fillId="3" borderId="0" xfId="2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0" fontId="21" fillId="3" borderId="0" xfId="0" applyNumberFormat="1" applyFont="1" applyFill="1" applyBorder="1" applyProtection="1">
      <protection hidden="1"/>
    </xf>
    <xf numFmtId="0" fontId="22" fillId="5" borderId="63" xfId="4" applyFont="1" applyFill="1" applyBorder="1" applyAlignment="1" applyProtection="1">
      <alignment horizontal="center"/>
      <protection hidden="1"/>
    </xf>
    <xf numFmtId="165" fontId="27" fillId="5" borderId="44" xfId="4" applyNumberFormat="1" applyFont="1" applyFill="1" applyProtection="1">
      <protection hidden="1"/>
    </xf>
    <xf numFmtId="171" fontId="22" fillId="5" borderId="44" xfId="4" applyNumberFormat="1" applyFont="1" applyFill="1" applyProtection="1">
      <protection hidden="1"/>
    </xf>
    <xf numFmtId="171" fontId="22" fillId="2" borderId="44" xfId="4" applyNumberFormat="1" applyFont="1" applyProtection="1">
      <protection hidden="1"/>
    </xf>
    <xf numFmtId="165" fontId="22" fillId="5" borderId="44" xfId="4" applyNumberFormat="1" applyFont="1" applyFill="1" applyProtection="1">
      <protection hidden="1"/>
    </xf>
    <xf numFmtId="166" fontId="22" fillId="5" borderId="44" xfId="3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0" fontId="27" fillId="5" borderId="44" xfId="4" applyFont="1" applyFill="1" applyAlignment="1" applyProtection="1">
      <protection hidden="1"/>
    </xf>
    <xf numFmtId="10" fontId="27" fillId="5" borderId="44" xfId="4" applyNumberFormat="1" applyFont="1" applyFill="1" applyAlignment="1" applyProtection="1">
      <alignment horizontal="left"/>
      <protection hidden="1"/>
    </xf>
    <xf numFmtId="3" fontId="27" fillId="5" borderId="44" xfId="4" applyNumberFormat="1" applyFont="1" applyFill="1" applyAlignment="1" applyProtection="1">
      <alignment horizontal="right"/>
      <protection hidden="1"/>
    </xf>
    <xf numFmtId="9" fontId="22" fillId="5" borderId="44" xfId="4" applyNumberFormat="1" applyFont="1" applyFill="1" applyProtection="1">
      <protection hidden="1"/>
    </xf>
    <xf numFmtId="3" fontId="22" fillId="5" borderId="44" xfId="4" applyNumberFormat="1" applyFont="1" applyFill="1" applyProtection="1">
      <protection hidden="1"/>
    </xf>
    <xf numFmtId="3" fontId="4" fillId="3" borderId="0" xfId="0" applyNumberFormat="1" applyFont="1" applyFill="1" applyBorder="1" applyProtection="1">
      <protection hidden="1"/>
    </xf>
    <xf numFmtId="171" fontId="23" fillId="5" borderId="44" xfId="3" applyNumberFormat="1" applyFont="1" applyFill="1" applyBorder="1" applyAlignment="1" applyProtection="1">
      <alignment horizontal="center"/>
      <protection hidden="1"/>
    </xf>
    <xf numFmtId="171" fontId="23" fillId="5" borderId="44" xfId="3" applyNumberFormat="1" applyFont="1" applyFill="1" applyBorder="1" applyProtection="1">
      <protection hidden="1"/>
    </xf>
    <xf numFmtId="3" fontId="23" fillId="5" borderId="44" xfId="4" applyNumberFormat="1" applyFont="1" applyFill="1" applyProtection="1">
      <protection hidden="1"/>
    </xf>
    <xf numFmtId="0" fontId="26" fillId="3" borderId="0" xfId="0" applyFont="1" applyFill="1" applyProtection="1">
      <protection hidden="1"/>
    </xf>
    <xf numFmtId="0" fontId="20" fillId="5" borderId="44" xfId="4" applyFont="1" applyFill="1" applyAlignment="1" applyProtection="1">
      <alignment horizontal="center"/>
      <protection hidden="1"/>
    </xf>
    <xf numFmtId="0" fontId="20" fillId="5" borderId="44" xfId="4" applyFont="1" applyFill="1" applyProtection="1">
      <protection hidden="1"/>
    </xf>
    <xf numFmtId="3" fontId="20" fillId="5" borderId="44" xfId="4" applyNumberFormat="1" applyFont="1" applyFill="1" applyProtection="1">
      <protection hidden="1"/>
    </xf>
    <xf numFmtId="0" fontId="25" fillId="5" borderId="44" xfId="4" applyFont="1" applyFill="1" applyProtection="1">
      <protection hidden="1"/>
    </xf>
    <xf numFmtId="3" fontId="25" fillId="5" borderId="44" xfId="4" applyNumberFormat="1" applyFont="1" applyFill="1" applyProtection="1">
      <protection hidden="1"/>
    </xf>
    <xf numFmtId="3" fontId="3" fillId="3" borderId="0" xfId="0" applyNumberFormat="1" applyFont="1" applyFill="1" applyProtection="1">
      <protection hidden="1"/>
    </xf>
    <xf numFmtId="166" fontId="7" fillId="5" borderId="44" xfId="3" applyFont="1" applyFill="1" applyBorder="1" applyAlignment="1" applyProtection="1">
      <alignment horizontal="center"/>
      <protection hidden="1"/>
    </xf>
    <xf numFmtId="171" fontId="7" fillId="5" borderId="44" xfId="3" applyNumberFormat="1" applyFont="1" applyFill="1" applyBorder="1" applyProtection="1">
      <protection hidden="1"/>
    </xf>
    <xf numFmtId="3" fontId="7" fillId="5" borderId="44" xfId="4" applyNumberFormat="1" applyFont="1" applyFill="1" applyProtection="1">
      <protection hidden="1"/>
    </xf>
    <xf numFmtId="3" fontId="7" fillId="3" borderId="0" xfId="0" applyNumberFormat="1" applyFont="1" applyFill="1" applyBorder="1" applyProtection="1">
      <protection hidden="1"/>
    </xf>
    <xf numFmtId="0" fontId="7" fillId="5" borderId="44" xfId="4" applyFont="1" applyFill="1" applyAlignment="1" applyProtection="1">
      <alignment horizontal="center"/>
      <protection hidden="1"/>
    </xf>
    <xf numFmtId="0" fontId="25" fillId="5" borderId="44" xfId="4" applyFont="1" applyFill="1" applyAlignment="1" applyProtection="1">
      <alignment horizontal="center"/>
      <protection hidden="1"/>
    </xf>
    <xf numFmtId="0" fontId="29" fillId="6" borderId="62" xfId="0" applyFont="1" applyFill="1" applyBorder="1" applyProtection="1">
      <protection hidden="1"/>
    </xf>
    <xf numFmtId="0" fontId="31" fillId="6" borderId="62" xfId="0" applyFont="1" applyFill="1" applyBorder="1" applyAlignment="1" applyProtection="1">
      <alignment horizontal="center"/>
      <protection hidden="1"/>
    </xf>
    <xf numFmtId="0" fontId="32" fillId="6" borderId="62" xfId="0" applyFont="1" applyFill="1" applyBorder="1" applyProtection="1">
      <protection hidden="1"/>
    </xf>
    <xf numFmtId="3" fontId="32" fillId="6" borderId="62" xfId="0" applyNumberFormat="1" applyFont="1" applyFill="1" applyBorder="1" applyProtection="1">
      <protection hidden="1"/>
    </xf>
    <xf numFmtId="0" fontId="31" fillId="6" borderId="62" xfId="0" applyFont="1" applyFill="1" applyBorder="1" applyProtection="1">
      <protection hidden="1"/>
    </xf>
    <xf numFmtId="3" fontId="31" fillId="6" borderId="62" xfId="0" applyNumberFormat="1" applyFont="1" applyFill="1" applyBorder="1" applyProtection="1">
      <protection hidden="1"/>
    </xf>
    <xf numFmtId="9" fontId="32" fillId="6" borderId="62" xfId="2" applyFont="1" applyFill="1" applyBorder="1" applyProtection="1">
      <protection hidden="1"/>
    </xf>
    <xf numFmtId="9" fontId="32" fillId="6" borderId="62" xfId="0" applyNumberFormat="1" applyFont="1" applyFill="1" applyBorder="1" applyProtection="1">
      <protection hidden="1"/>
    </xf>
    <xf numFmtId="0" fontId="32" fillId="6" borderId="62" xfId="0" applyNumberFormat="1" applyFont="1" applyFill="1" applyBorder="1" applyProtection="1">
      <protection hidden="1"/>
    </xf>
    <xf numFmtId="168" fontId="32" fillId="6" borderId="62" xfId="0" applyNumberFormat="1" applyFont="1" applyFill="1" applyBorder="1" applyProtection="1">
      <protection hidden="1"/>
    </xf>
    <xf numFmtId="2" fontId="32" fillId="6" borderId="62" xfId="0" applyNumberFormat="1" applyFont="1" applyFill="1" applyBorder="1" applyProtection="1">
      <protection hidden="1"/>
    </xf>
    <xf numFmtId="169" fontId="32" fillId="6" borderId="62" xfId="0" applyNumberFormat="1" applyFont="1" applyFill="1" applyBorder="1" applyProtection="1">
      <protection hidden="1"/>
    </xf>
    <xf numFmtId="0" fontId="30" fillId="6" borderId="62" xfId="0" applyFont="1" applyFill="1" applyBorder="1" applyProtection="1">
      <protection hidden="1"/>
    </xf>
    <xf numFmtId="0" fontId="30" fillId="6" borderId="62" xfId="0" applyFont="1" applyFill="1" applyBorder="1" applyAlignment="1" applyProtection="1">
      <alignment horizontal="center"/>
      <protection hidden="1"/>
    </xf>
    <xf numFmtId="9" fontId="29" fillId="6" borderId="62" xfId="2" applyFont="1" applyFill="1" applyBorder="1" applyProtection="1">
      <protection hidden="1"/>
    </xf>
    <xf numFmtId="171" fontId="20" fillId="5" borderId="44" xfId="3" applyNumberFormat="1" applyFont="1" applyFill="1" applyBorder="1" applyAlignment="1" applyProtection="1">
      <alignment horizontal="center"/>
      <protection hidden="1"/>
    </xf>
    <xf numFmtId="171" fontId="20" fillId="5" borderId="44" xfId="3" applyNumberFormat="1" applyFont="1" applyFill="1" applyBorder="1" applyProtection="1">
      <protection hidden="1"/>
    </xf>
    <xf numFmtId="166" fontId="20" fillId="5" borderId="44" xfId="3" applyFont="1" applyFill="1" applyBorder="1" applyAlignment="1" applyProtection="1">
      <alignment horizontal="center"/>
      <protection hidden="1"/>
    </xf>
    <xf numFmtId="166" fontId="20" fillId="5" borderId="44" xfId="3" applyFont="1" applyFill="1" applyBorder="1" applyProtection="1">
      <protection hidden="1"/>
    </xf>
    <xf numFmtId="171" fontId="25" fillId="5" borderId="44" xfId="3" applyNumberFormat="1" applyFont="1" applyFill="1" applyBorder="1" applyProtection="1">
      <protection hidden="1"/>
    </xf>
    <xf numFmtId="0" fontId="7" fillId="5" borderId="44" xfId="4" applyFont="1" applyFill="1" applyProtection="1">
      <protection hidden="1"/>
    </xf>
    <xf numFmtId="0" fontId="8" fillId="3" borderId="0" xfId="0" applyFont="1" applyFill="1" applyBorder="1" applyProtection="1">
      <protection hidden="1"/>
    </xf>
    <xf numFmtId="3" fontId="8" fillId="3" borderId="0" xfId="0" applyNumberFormat="1" applyFont="1" applyFill="1" applyBorder="1" applyProtection="1">
      <protection hidden="1"/>
    </xf>
    <xf numFmtId="3" fontId="6" fillId="3" borderId="0" xfId="0" applyNumberFormat="1" applyFont="1" applyFill="1" applyBorder="1" applyProtection="1">
      <protection hidden="1"/>
    </xf>
    <xf numFmtId="10" fontId="22" fillId="5" borderId="44" xfId="4" applyNumberFormat="1" applyFont="1" applyFill="1" applyProtection="1">
      <protection hidden="1"/>
    </xf>
    <xf numFmtId="2" fontId="22" fillId="5" borderId="44" xfId="4" applyNumberFormat="1" applyFont="1" applyFill="1" applyProtection="1">
      <protection hidden="1"/>
    </xf>
    <xf numFmtId="0" fontId="8" fillId="3" borderId="0" xfId="0" applyFont="1" applyFill="1" applyProtection="1">
      <protection hidden="1"/>
    </xf>
    <xf numFmtId="3" fontId="8" fillId="3" borderId="24" xfId="0" applyNumberFormat="1" applyFont="1" applyFill="1" applyBorder="1" applyProtection="1">
      <protection hidden="1"/>
    </xf>
    <xf numFmtId="3" fontId="8" fillId="3" borderId="4" xfId="0" applyNumberFormat="1" applyFont="1" applyFill="1" applyBorder="1" applyProtection="1">
      <protection hidden="1"/>
    </xf>
    <xf numFmtId="3" fontId="8" fillId="3" borderId="7" xfId="0" applyNumberFormat="1" applyFont="1" applyFill="1" applyBorder="1" applyProtection="1">
      <protection hidden="1"/>
    </xf>
    <xf numFmtId="169" fontId="6" fillId="3" borderId="1" xfId="0" applyNumberFormat="1" applyFont="1" applyFill="1" applyBorder="1" applyProtection="1">
      <protection hidden="1"/>
    </xf>
    <xf numFmtId="0" fontId="6" fillId="3" borderId="21" xfId="0" applyFont="1" applyFill="1" applyBorder="1" applyProtection="1">
      <protection hidden="1"/>
    </xf>
    <xf numFmtId="0" fontId="17" fillId="3" borderId="65" xfId="0" applyFont="1" applyFill="1" applyBorder="1"/>
    <xf numFmtId="0" fontId="17" fillId="3" borderId="66" xfId="0" applyFont="1" applyFill="1" applyBorder="1"/>
    <xf numFmtId="0" fontId="15" fillId="3" borderId="67" xfId="0" applyFont="1" applyFill="1" applyBorder="1" applyAlignment="1">
      <alignment horizontal="left"/>
    </xf>
    <xf numFmtId="9" fontId="15" fillId="4" borderId="13" xfId="2" applyFont="1" applyFill="1" applyBorder="1" applyProtection="1">
      <protection locked="0"/>
    </xf>
    <xf numFmtId="170" fontId="15" fillId="4" borderId="14" xfId="1" applyNumberFormat="1" applyFont="1" applyFill="1" applyBorder="1" applyProtection="1">
      <protection locked="0"/>
    </xf>
    <xf numFmtId="0" fontId="17" fillId="3" borderId="66" xfId="0" applyFont="1" applyFill="1" applyBorder="1" applyAlignment="1">
      <alignment horizontal="left"/>
    </xf>
    <xf numFmtId="0" fontId="17" fillId="3" borderId="68" xfId="0" applyFont="1" applyFill="1" applyBorder="1" applyAlignment="1">
      <alignment horizontal="center"/>
    </xf>
    <xf numFmtId="0" fontId="17" fillId="3" borderId="69" xfId="0" applyFont="1" applyFill="1" applyBorder="1" applyAlignment="1">
      <alignment horizontal="center"/>
    </xf>
    <xf numFmtId="0" fontId="17" fillId="3" borderId="70" xfId="0" applyFont="1" applyFill="1" applyBorder="1"/>
    <xf numFmtId="9" fontId="15" fillId="3" borderId="71" xfId="2" applyFont="1" applyFill="1" applyBorder="1" applyProtection="1">
      <protection locked="0"/>
    </xf>
    <xf numFmtId="0" fontId="17" fillId="3" borderId="72" xfId="0" applyFont="1" applyFill="1" applyBorder="1"/>
    <xf numFmtId="9" fontId="15" fillId="4" borderId="14" xfId="2" applyFont="1" applyFill="1" applyBorder="1" applyProtection="1">
      <protection locked="0"/>
    </xf>
    <xf numFmtId="0" fontId="17" fillId="3" borderId="73" xfId="0" applyFont="1" applyFill="1" applyBorder="1" applyAlignment="1">
      <alignment horizontal="center"/>
    </xf>
    <xf numFmtId="0" fontId="17" fillId="4" borderId="74" xfId="0" applyFont="1" applyFill="1" applyBorder="1"/>
    <xf numFmtId="170" fontId="15" fillId="4" borderId="75" xfId="1" applyNumberFormat="1" applyFont="1" applyFill="1" applyBorder="1" applyProtection="1">
      <protection locked="0"/>
    </xf>
    <xf numFmtId="0" fontId="17" fillId="4" borderId="76" xfId="0" applyFont="1" applyFill="1" applyBorder="1"/>
    <xf numFmtId="170" fontId="15" fillId="4" borderId="77" xfId="1" applyNumberFormat="1" applyFont="1" applyFill="1" applyBorder="1" applyProtection="1">
      <protection locked="0"/>
    </xf>
    <xf numFmtId="0" fontId="17" fillId="4" borderId="78" xfId="0" applyFont="1" applyFill="1" applyBorder="1"/>
    <xf numFmtId="170" fontId="15" fillId="4" borderId="79" xfId="1" applyNumberFormat="1" applyFont="1" applyFill="1" applyBorder="1" applyProtection="1">
      <protection locked="0"/>
    </xf>
    <xf numFmtId="171" fontId="15" fillId="4" borderId="79" xfId="3" applyNumberFormat="1" applyFont="1" applyFill="1" applyBorder="1" applyProtection="1">
      <protection locked="0"/>
    </xf>
    <xf numFmtId="170" fontId="15" fillId="4" borderId="80" xfId="1" applyNumberFormat="1" applyFont="1" applyFill="1" applyBorder="1" applyProtection="1">
      <protection locked="0"/>
    </xf>
    <xf numFmtId="0" fontId="17" fillId="3" borderId="81" xfId="0" applyFont="1" applyFill="1" applyBorder="1" applyAlignment="1">
      <alignment horizontal="center" wrapText="1"/>
    </xf>
    <xf numFmtId="9" fontId="15" fillId="4" borderId="79" xfId="2" applyFont="1" applyFill="1" applyBorder="1" applyProtection="1">
      <protection locked="0"/>
    </xf>
    <xf numFmtId="0" fontId="17" fillId="3" borderId="35" xfId="0" applyFont="1" applyFill="1" applyBorder="1" applyAlignment="1">
      <alignment horizontal="center"/>
    </xf>
    <xf numFmtId="0" fontId="15" fillId="3" borderId="2" xfId="0" applyFont="1" applyFill="1" applyBorder="1"/>
    <xf numFmtId="0" fontId="15" fillId="4" borderId="74" xfId="0" applyFont="1" applyFill="1" applyBorder="1" applyProtection="1">
      <protection locked="0"/>
    </xf>
    <xf numFmtId="0" fontId="15" fillId="4" borderId="82" xfId="0" applyFont="1" applyFill="1" applyBorder="1" applyProtection="1">
      <protection locked="0"/>
    </xf>
    <xf numFmtId="0" fontId="15" fillId="4" borderId="76" xfId="0" applyFont="1" applyFill="1" applyBorder="1" applyProtection="1">
      <protection locked="0"/>
    </xf>
    <xf numFmtId="0" fontId="15" fillId="4" borderId="35" xfId="0" applyFont="1" applyFill="1" applyBorder="1" applyProtection="1">
      <protection locked="0"/>
    </xf>
    <xf numFmtId="0" fontId="15" fillId="3" borderId="70" xfId="0" applyFont="1" applyFill="1" applyBorder="1"/>
    <xf numFmtId="0" fontId="15" fillId="3" borderId="22" xfId="0" applyFont="1" applyFill="1" applyBorder="1"/>
    <xf numFmtId="0" fontId="15" fillId="3" borderId="6" xfId="0" applyFont="1" applyFill="1" applyBorder="1"/>
    <xf numFmtId="165" fontId="4" fillId="5" borderId="44" xfId="4" applyNumberFormat="1" applyFont="1" applyFill="1" applyAlignment="1" applyProtection="1">
      <alignment horizontal="center"/>
      <protection hidden="1"/>
    </xf>
    <xf numFmtId="0" fontId="4" fillId="5" borderId="44" xfId="1" applyNumberFormat="1" applyFont="1" applyFill="1" applyBorder="1" applyAlignment="1" applyProtection="1">
      <alignment horizontal="center"/>
      <protection hidden="1"/>
    </xf>
    <xf numFmtId="165" fontId="3" fillId="3" borderId="0" xfId="0" applyNumberFormat="1" applyFont="1" applyFill="1" applyProtection="1">
      <protection hidden="1"/>
    </xf>
    <xf numFmtId="165" fontId="4" fillId="5" borderId="44" xfId="4" applyNumberFormat="1" applyFont="1" applyFill="1" applyProtection="1">
      <protection hidden="1"/>
    </xf>
    <xf numFmtId="165" fontId="4" fillId="5" borderId="44" xfId="3" applyNumberFormat="1" applyFont="1" applyFill="1" applyBorder="1" applyProtection="1">
      <protection hidden="1"/>
    </xf>
    <xf numFmtId="165" fontId="3" fillId="5" borderId="44" xfId="4" applyNumberFormat="1" applyFont="1" applyFill="1" applyProtection="1">
      <protection hidden="1"/>
    </xf>
    <xf numFmtId="166" fontId="4" fillId="5" borderId="44" xfId="3" applyFont="1" applyFill="1" applyBorder="1" applyProtection="1">
      <protection hidden="1"/>
    </xf>
    <xf numFmtId="166" fontId="3" fillId="3" borderId="0" xfId="3" applyFont="1" applyFill="1" applyProtection="1">
      <protection hidden="1"/>
    </xf>
    <xf numFmtId="171" fontId="4" fillId="5" borderId="44" xfId="3" applyNumberFormat="1" applyFont="1" applyFill="1" applyBorder="1" applyProtection="1">
      <protection hidden="1"/>
    </xf>
    <xf numFmtId="165" fontId="4" fillId="3" borderId="0" xfId="0" applyNumberFormat="1" applyFont="1" applyFill="1" applyBorder="1" applyProtection="1">
      <protection hidden="1"/>
    </xf>
    <xf numFmtId="165" fontId="3" fillId="3" borderId="0" xfId="0" applyNumberFormat="1" applyFont="1" applyFill="1" applyBorder="1" applyProtection="1">
      <protection hidden="1"/>
    </xf>
    <xf numFmtId="9" fontId="4" fillId="5" borderId="44" xfId="2" applyFont="1" applyFill="1" applyBorder="1" applyProtection="1">
      <protection hidden="1"/>
    </xf>
    <xf numFmtId="172" fontId="4" fillId="5" borderId="44" xfId="4" applyNumberFormat="1" applyFont="1" applyFill="1" applyProtection="1">
      <protection hidden="1"/>
    </xf>
    <xf numFmtId="0" fontId="4" fillId="3" borderId="0" xfId="0" applyFont="1" applyFill="1" applyProtection="1">
      <protection hidden="1"/>
    </xf>
    <xf numFmtId="3" fontId="4" fillId="3" borderId="24" xfId="0" applyNumberFormat="1" applyFont="1" applyFill="1" applyBorder="1" applyProtection="1">
      <protection hidden="1"/>
    </xf>
    <xf numFmtId="3" fontId="4" fillId="3" borderId="4" xfId="0" applyNumberFormat="1" applyFont="1" applyFill="1" applyBorder="1" applyProtection="1">
      <protection hidden="1"/>
    </xf>
    <xf numFmtId="3" fontId="4" fillId="3" borderId="7" xfId="0" applyNumberFormat="1" applyFont="1" applyFill="1" applyBorder="1" applyProtection="1">
      <protection hidden="1"/>
    </xf>
    <xf numFmtId="169" fontId="3" fillId="3" borderId="23" xfId="0" applyNumberFormat="1" applyFont="1" applyFill="1" applyBorder="1" applyProtection="1">
      <protection hidden="1"/>
    </xf>
    <xf numFmtId="169" fontId="3" fillId="3" borderId="1" xfId="0" applyNumberFormat="1" applyFont="1" applyFill="1" applyBorder="1" applyProtection="1">
      <protection hidden="1"/>
    </xf>
    <xf numFmtId="0" fontId="3" fillId="3" borderId="21" xfId="0" applyFont="1" applyFill="1" applyBorder="1" applyProtection="1">
      <protection hidden="1"/>
    </xf>
    <xf numFmtId="171" fontId="2" fillId="5" borderId="44" xfId="3" applyNumberFormat="1" applyFont="1" applyFill="1" applyBorder="1" applyProtection="1">
      <protection hidden="1"/>
    </xf>
    <xf numFmtId="171" fontId="2" fillId="5" borderId="59" xfId="3" applyNumberFormat="1" applyFont="1" applyFill="1" applyBorder="1" applyProtection="1">
      <protection hidden="1"/>
    </xf>
    <xf numFmtId="0" fontId="5" fillId="3" borderId="48" xfId="0" applyFont="1" applyFill="1" applyBorder="1" applyAlignment="1" applyProtection="1">
      <protection hidden="1"/>
    </xf>
    <xf numFmtId="9" fontId="3" fillId="3" borderId="0" xfId="2" applyFont="1" applyFill="1" applyProtection="1">
      <protection hidden="1"/>
    </xf>
    <xf numFmtId="0" fontId="17" fillId="3" borderId="2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9" fillId="4" borderId="27" xfId="0" applyFont="1" applyFill="1" applyBorder="1" applyAlignment="1" applyProtection="1">
      <alignment horizontal="left"/>
      <protection locked="0"/>
    </xf>
    <xf numFmtId="0" fontId="19" fillId="4" borderId="10" xfId="0" applyFont="1" applyFill="1" applyBorder="1" applyAlignment="1" applyProtection="1">
      <alignment horizontal="left"/>
      <protection locked="0"/>
    </xf>
    <xf numFmtId="0" fontId="18" fillId="3" borderId="22" xfId="0" applyFont="1" applyFill="1" applyBorder="1" applyAlignment="1">
      <alignment horizontal="center"/>
    </xf>
    <xf numFmtId="0" fontId="17" fillId="3" borderId="64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horizontal="center" vertical="top"/>
      <protection hidden="1"/>
    </xf>
    <xf numFmtId="0" fontId="4" fillId="3" borderId="22" xfId="0" applyFont="1" applyFill="1" applyBorder="1" applyAlignment="1" applyProtection="1">
      <alignment horizontal="center" vertical="top"/>
      <protection hidden="1"/>
    </xf>
    <xf numFmtId="0" fontId="7" fillId="3" borderId="48" xfId="0" applyFont="1" applyFill="1" applyBorder="1" applyAlignment="1" applyProtection="1">
      <alignment horizontal="center" vertical="top"/>
      <protection hidden="1"/>
    </xf>
    <xf numFmtId="0" fontId="13" fillId="5" borderId="45" xfId="4" applyFont="1" applyFill="1" applyBorder="1" applyAlignment="1" applyProtection="1">
      <alignment horizontal="center"/>
      <protection hidden="1"/>
    </xf>
    <xf numFmtId="0" fontId="13" fillId="5" borderId="46" xfId="4" applyFont="1" applyFill="1" applyBorder="1" applyAlignment="1" applyProtection="1">
      <alignment horizontal="center"/>
      <protection hidden="1"/>
    </xf>
    <xf numFmtId="0" fontId="13" fillId="5" borderId="47" xfId="4" applyFont="1" applyFill="1" applyBorder="1" applyAlignment="1" applyProtection="1">
      <alignment horizontal="center"/>
      <protection hidden="1"/>
    </xf>
    <xf numFmtId="0" fontId="5" fillId="3" borderId="48" xfId="0" applyFont="1" applyFill="1" applyBorder="1" applyAlignment="1" applyProtection="1">
      <alignment horizontal="center" vertical="top"/>
      <protection hidden="1"/>
    </xf>
    <xf numFmtId="0" fontId="4" fillId="3" borderId="22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13" fillId="3" borderId="52" xfId="4" applyFont="1" applyFill="1" applyBorder="1" applyAlignment="1" applyProtection="1">
      <alignment horizontal="center"/>
      <protection hidden="1"/>
    </xf>
    <xf numFmtId="0" fontId="13" fillId="3" borderId="53" xfId="4" applyFont="1" applyFill="1" applyBorder="1" applyAlignment="1" applyProtection="1">
      <alignment horizontal="center"/>
      <protection hidden="1"/>
    </xf>
    <xf numFmtId="0" fontId="13" fillId="3" borderId="54" xfId="4" applyFont="1" applyFill="1" applyBorder="1" applyAlignment="1" applyProtection="1">
      <alignment horizontal="center"/>
      <protection hidden="1"/>
    </xf>
    <xf numFmtId="0" fontId="13" fillId="3" borderId="49" xfId="4" applyFont="1" applyFill="1" applyBorder="1" applyAlignment="1" applyProtection="1">
      <alignment horizontal="center"/>
      <protection hidden="1"/>
    </xf>
    <xf numFmtId="0" fontId="13" fillId="3" borderId="50" xfId="4" applyFont="1" applyFill="1" applyBorder="1" applyAlignment="1" applyProtection="1">
      <alignment horizontal="center"/>
      <protection hidden="1"/>
    </xf>
    <xf numFmtId="0" fontId="13" fillId="3" borderId="51" xfId="4" applyFont="1" applyFill="1" applyBorder="1" applyAlignment="1" applyProtection="1">
      <alignment horizontal="center"/>
      <protection hidden="1"/>
    </xf>
    <xf numFmtId="0" fontId="13" fillId="3" borderId="60" xfId="4" applyFont="1" applyFill="1" applyBorder="1" applyAlignment="1" applyProtection="1">
      <alignment horizontal="center"/>
      <protection hidden="1"/>
    </xf>
    <xf numFmtId="0" fontId="13" fillId="3" borderId="27" xfId="4" applyFont="1" applyFill="1" applyBorder="1" applyAlignment="1" applyProtection="1">
      <alignment horizontal="center"/>
      <protection hidden="1"/>
    </xf>
    <xf numFmtId="0" fontId="13" fillId="3" borderId="61" xfId="4" applyFont="1" applyFill="1" applyBorder="1" applyAlignment="1" applyProtection="1">
      <alignment horizontal="center"/>
      <protection hidden="1"/>
    </xf>
    <xf numFmtId="0" fontId="5" fillId="3" borderId="48" xfId="0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19" fillId="3" borderId="24" xfId="4" applyFont="1" applyFill="1" applyBorder="1" applyAlignment="1" applyProtection="1">
      <alignment horizontal="center"/>
      <protection hidden="1"/>
    </xf>
    <xf numFmtId="0" fontId="19" fillId="3" borderId="4" xfId="4" applyFont="1" applyFill="1" applyBorder="1" applyAlignment="1" applyProtection="1">
      <alignment horizontal="center"/>
      <protection hidden="1"/>
    </xf>
    <xf numFmtId="0" fontId="19" fillId="3" borderId="7" xfId="4" applyFont="1" applyFill="1" applyBorder="1" applyAlignment="1" applyProtection="1">
      <alignment horizontal="center"/>
      <protection hidden="1"/>
    </xf>
    <xf numFmtId="0" fontId="22" fillId="5" borderId="44" xfId="4" applyFont="1" applyFill="1" applyAlignment="1" applyProtection="1">
      <alignment horizontal="center"/>
      <protection hidden="1"/>
    </xf>
    <xf numFmtId="0" fontId="27" fillId="5" borderId="44" xfId="4" applyFont="1" applyFill="1" applyAlignment="1" applyProtection="1">
      <alignment horizontal="left"/>
      <protection hidden="1"/>
    </xf>
    <xf numFmtId="0" fontId="22" fillId="5" borderId="44" xfId="4" applyFont="1" applyFill="1" applyAlignment="1" applyProtection="1">
      <alignment horizontal="right"/>
      <protection hidden="1"/>
    </xf>
    <xf numFmtId="0" fontId="22" fillId="5" borderId="44" xfId="4" applyFont="1" applyFill="1" applyAlignment="1" applyProtection="1">
      <alignment horizontal="left"/>
      <protection hidden="1"/>
    </xf>
    <xf numFmtId="0" fontId="24" fillId="5" borderId="45" xfId="4" applyFont="1" applyFill="1" applyBorder="1" applyAlignment="1" applyProtection="1">
      <alignment horizontal="center"/>
      <protection hidden="1"/>
    </xf>
    <xf numFmtId="0" fontId="24" fillId="5" borderId="46" xfId="4" applyFont="1" applyFill="1" applyBorder="1" applyAlignment="1" applyProtection="1">
      <alignment horizontal="center"/>
      <protection hidden="1"/>
    </xf>
    <xf numFmtId="0" fontId="24" fillId="5" borderId="47" xfId="4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4" fillId="3" borderId="53" xfId="0" applyFont="1" applyFill="1" applyBorder="1" applyAlignment="1" applyProtection="1">
      <alignment horizontal="center"/>
      <protection hidden="1"/>
    </xf>
    <xf numFmtId="0" fontId="25" fillId="5" borderId="45" xfId="4" applyFont="1" applyFill="1" applyBorder="1" applyAlignment="1" applyProtection="1">
      <alignment horizontal="center"/>
      <protection hidden="1"/>
    </xf>
    <xf numFmtId="0" fontId="25" fillId="5" borderId="46" xfId="4" applyFont="1" applyFill="1" applyBorder="1" applyAlignment="1" applyProtection="1">
      <alignment horizontal="center"/>
      <protection hidden="1"/>
    </xf>
    <xf numFmtId="0" fontId="25" fillId="5" borderId="47" xfId="4" applyFont="1" applyFill="1" applyBorder="1" applyAlignment="1" applyProtection="1">
      <alignment horizontal="center"/>
      <protection hidden="1"/>
    </xf>
    <xf numFmtId="0" fontId="20" fillId="5" borderId="45" xfId="4" applyFont="1" applyFill="1" applyBorder="1" applyAlignment="1" applyProtection="1">
      <alignment horizontal="center"/>
      <protection hidden="1"/>
    </xf>
    <xf numFmtId="0" fontId="20" fillId="5" borderId="46" xfId="4" applyFont="1" applyFill="1" applyBorder="1" applyAlignment="1" applyProtection="1">
      <alignment horizontal="center"/>
      <protection hidden="1"/>
    </xf>
    <xf numFmtId="0" fontId="20" fillId="5" borderId="47" xfId="4" applyFont="1" applyFill="1" applyBorder="1" applyAlignment="1" applyProtection="1">
      <alignment horizontal="center"/>
      <protection hidden="1"/>
    </xf>
    <xf numFmtId="0" fontId="22" fillId="5" borderId="45" xfId="4" applyFont="1" applyFill="1" applyBorder="1" applyAlignment="1" applyProtection="1">
      <alignment horizontal="center"/>
      <protection hidden="1"/>
    </xf>
    <xf numFmtId="0" fontId="22" fillId="5" borderId="47" xfId="4" applyFont="1" applyFill="1" applyBorder="1" applyAlignment="1" applyProtection="1">
      <alignment horizontal="center"/>
      <protection hidden="1"/>
    </xf>
    <xf numFmtId="165" fontId="4" fillId="5" borderId="45" xfId="4" applyNumberFormat="1" applyFont="1" applyFill="1" applyBorder="1" applyAlignment="1" applyProtection="1">
      <alignment horizontal="center"/>
      <protection hidden="1"/>
    </xf>
    <xf numFmtId="165" fontId="4" fillId="5" borderId="47" xfId="4" applyNumberFormat="1" applyFont="1" applyFill="1" applyBorder="1" applyAlignment="1" applyProtection="1">
      <alignment horizontal="center"/>
      <protection hidden="1"/>
    </xf>
    <xf numFmtId="0" fontId="28" fillId="6" borderId="62" xfId="0" applyFont="1" applyFill="1" applyBorder="1" applyAlignment="1" applyProtection="1">
      <alignment horizontal="center"/>
      <protection hidden="1"/>
    </xf>
    <xf numFmtId="0" fontId="30" fillId="6" borderId="62" xfId="0" applyFont="1" applyFill="1" applyBorder="1" applyAlignment="1" applyProtection="1">
      <alignment horizontal="center"/>
      <protection hidden="1"/>
    </xf>
  </cellXfs>
  <cellStyles count="5">
    <cellStyle name="Celda de comprobación" xfId="4" builtinId="23"/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16" fmlaLink="$B$24" max="1000" page="10" val="14"/>
</file>

<file path=xl/ctrlProps/ctrlProp2.xml><?xml version="1.0" encoding="utf-8"?>
<formControlPr xmlns="http://schemas.microsoft.com/office/spreadsheetml/2009/9/main" objectType="Spin" dx="16" fmlaLink="$B$29" max="100" page="10" val="75"/>
</file>

<file path=xl/ctrlProps/ctrlProp3.xml><?xml version="1.0" encoding="utf-8"?>
<formControlPr xmlns="http://schemas.microsoft.com/office/spreadsheetml/2009/9/main" objectType="Spin" dx="16" fmlaLink="$B$30" max="100" page="10" val="100"/>
</file>

<file path=xl/ctrlProps/ctrlProp4.xml><?xml version="1.0" encoding="utf-8"?>
<formControlPr xmlns="http://schemas.microsoft.com/office/spreadsheetml/2009/9/main" objectType="Spin" dx="16" fmlaLink="$B$31" max="100" page="10" val="40"/>
</file>

<file path=xl/ctrlProps/ctrlProp5.xml><?xml version="1.0" encoding="utf-8"?>
<formControlPr xmlns="http://schemas.microsoft.com/office/spreadsheetml/2009/9/main" objectType="Spin" dx="16" fmlaLink="$B$32" max="100" page="10" val="50"/>
</file>

<file path=xl/ctrlProps/ctrlProp6.xml><?xml version="1.0" encoding="utf-8"?>
<formControlPr xmlns="http://schemas.microsoft.com/office/spreadsheetml/2009/9/main" objectType="Spin" dx="16" fmlaLink="$B$25" max="1000" page="10" val="15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23</xdr:row>
          <xdr:rowOff>9525</xdr:rowOff>
        </xdr:from>
        <xdr:to>
          <xdr:col>1</xdr:col>
          <xdr:colOff>1009650</xdr:colOff>
          <xdr:row>24</xdr:row>
          <xdr:rowOff>19050</xdr:rowOff>
        </xdr:to>
        <xdr:sp macro="" textlink="">
          <xdr:nvSpPr>
            <xdr:cNvPr id="1072" name="Spinner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28</xdr:row>
          <xdr:rowOff>9525</xdr:rowOff>
        </xdr:from>
        <xdr:to>
          <xdr:col>1</xdr:col>
          <xdr:colOff>1009650</xdr:colOff>
          <xdr:row>28</xdr:row>
          <xdr:rowOff>219075</xdr:rowOff>
        </xdr:to>
        <xdr:sp macro="" textlink="">
          <xdr:nvSpPr>
            <xdr:cNvPr id="1074" name="Spinner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29</xdr:row>
          <xdr:rowOff>47625</xdr:rowOff>
        </xdr:from>
        <xdr:to>
          <xdr:col>1</xdr:col>
          <xdr:colOff>1009650</xdr:colOff>
          <xdr:row>29</xdr:row>
          <xdr:rowOff>219075</xdr:rowOff>
        </xdr:to>
        <xdr:sp macro="" textlink="">
          <xdr:nvSpPr>
            <xdr:cNvPr id="1077" name="Spinner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30</xdr:row>
          <xdr:rowOff>57150</xdr:rowOff>
        </xdr:from>
        <xdr:to>
          <xdr:col>1</xdr:col>
          <xdr:colOff>1009650</xdr:colOff>
          <xdr:row>30</xdr:row>
          <xdr:rowOff>228600</xdr:rowOff>
        </xdr:to>
        <xdr:sp macro="" textlink="">
          <xdr:nvSpPr>
            <xdr:cNvPr id="1078" name="Spinner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31</xdr:row>
          <xdr:rowOff>28575</xdr:rowOff>
        </xdr:from>
        <xdr:to>
          <xdr:col>1</xdr:col>
          <xdr:colOff>1009650</xdr:colOff>
          <xdr:row>31</xdr:row>
          <xdr:rowOff>200025</xdr:rowOff>
        </xdr:to>
        <xdr:sp macro="" textlink="">
          <xdr:nvSpPr>
            <xdr:cNvPr id="1079" name="Spinner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24</xdr:row>
          <xdr:rowOff>57150</xdr:rowOff>
        </xdr:from>
        <xdr:to>
          <xdr:col>2</xdr:col>
          <xdr:colOff>0</xdr:colOff>
          <xdr:row>25</xdr:row>
          <xdr:rowOff>66675</xdr:rowOff>
        </xdr:to>
        <xdr:sp macro="" textlink="">
          <xdr:nvSpPr>
            <xdr:cNvPr id="1080" name="Spinner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IV191"/>
  <sheetViews>
    <sheetView showGridLines="0" showRowColHeaders="0" tabSelected="1" showOutlineSymbol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:F3"/>
    </sheetView>
  </sheetViews>
  <sheetFormatPr baseColWidth="10" defaultColWidth="0" defaultRowHeight="12.75" zeroHeight="1" x14ac:dyDescent="0.2"/>
  <cols>
    <col min="1" max="1" width="3.28515625" style="1" customWidth="1"/>
    <col min="2" max="2" width="16.140625" style="1" bestFit="1" customWidth="1"/>
    <col min="3" max="3" width="40.140625" style="1" bestFit="1" customWidth="1"/>
    <col min="4" max="4" width="25.28515625" style="1" bestFit="1" customWidth="1"/>
    <col min="5" max="5" width="30.5703125" style="1" bestFit="1" customWidth="1"/>
    <col min="6" max="6" width="19.7109375" style="1" bestFit="1" customWidth="1"/>
    <col min="7" max="7" width="2.140625" style="1" hidden="1" customWidth="1"/>
    <col min="8" max="256" width="0" style="1" hidden="1" customWidth="1"/>
    <col min="257" max="16384" width="11.42578125" style="1" hidden="1"/>
  </cols>
  <sheetData>
    <row r="1" spans="3:256" x14ac:dyDescent="0.2"/>
    <row r="2" spans="3:256" x14ac:dyDescent="0.2"/>
    <row r="3" spans="3:256" ht="23.25" x14ac:dyDescent="0.35">
      <c r="C3" s="280" t="s">
        <v>195</v>
      </c>
      <c r="D3" s="280"/>
      <c r="E3" s="280"/>
      <c r="F3" s="280"/>
    </row>
    <row r="4" spans="3:256" x14ac:dyDescent="0.2"/>
    <row r="5" spans="3:256" x14ac:dyDescent="0.2">
      <c r="IV5" s="1" t="s">
        <v>228</v>
      </c>
    </row>
    <row r="6" spans="3:256" ht="18.75" x14ac:dyDescent="0.3">
      <c r="C6" s="2" t="s">
        <v>171</v>
      </c>
      <c r="D6" s="281" t="s">
        <v>326</v>
      </c>
      <c r="E6" s="281"/>
      <c r="F6" s="282"/>
      <c r="IV6" s="1" t="s">
        <v>172</v>
      </c>
    </row>
    <row r="7" spans="3:256" ht="13.5" thickBot="1" x14ac:dyDescent="0.25">
      <c r="C7" s="3"/>
      <c r="D7" s="4"/>
      <c r="E7" s="4"/>
      <c r="F7" s="4"/>
    </row>
    <row r="8" spans="3:256" x14ac:dyDescent="0.2">
      <c r="C8" s="222" t="s">
        <v>220</v>
      </c>
      <c r="D8" s="223"/>
      <c r="E8" s="4"/>
      <c r="F8" s="4"/>
    </row>
    <row r="9" spans="3:256" x14ac:dyDescent="0.2">
      <c r="C9" s="28" t="s">
        <v>27</v>
      </c>
      <c r="D9" s="224">
        <v>0.35</v>
      </c>
      <c r="E9" s="4"/>
      <c r="F9" s="4"/>
    </row>
    <row r="10" spans="3:256" x14ac:dyDescent="0.2">
      <c r="C10" s="28" t="s">
        <v>24</v>
      </c>
      <c r="D10" s="224">
        <v>0.1</v>
      </c>
      <c r="E10" s="4"/>
      <c r="F10" s="4"/>
    </row>
    <row r="11" spans="3:256" x14ac:dyDescent="0.2">
      <c r="C11" s="28" t="s">
        <v>187</v>
      </c>
      <c r="D11" s="224">
        <v>0</v>
      </c>
      <c r="E11" s="4"/>
      <c r="F11" s="4"/>
    </row>
    <row r="12" spans="3:256" x14ac:dyDescent="0.2">
      <c r="C12" s="28" t="s">
        <v>4</v>
      </c>
      <c r="D12" s="224">
        <v>0.25</v>
      </c>
      <c r="E12" s="4"/>
      <c r="F12" s="4"/>
    </row>
    <row r="13" spans="3:256" ht="13.5" thickBot="1" x14ac:dyDescent="0.25">
      <c r="C13" s="30" t="s">
        <v>221</v>
      </c>
      <c r="D13" s="225">
        <v>3</v>
      </c>
      <c r="E13" s="221" t="s">
        <v>214</v>
      </c>
      <c r="F13" s="8" t="s">
        <v>216</v>
      </c>
      <c r="IP13" s="1" t="s">
        <v>215</v>
      </c>
    </row>
    <row r="14" spans="3:256" x14ac:dyDescent="0.2">
      <c r="C14" s="3"/>
      <c r="D14" s="4"/>
      <c r="E14" s="4"/>
      <c r="F14" s="4"/>
      <c r="IP14" s="1" t="s">
        <v>216</v>
      </c>
    </row>
    <row r="15" spans="3:256" ht="21" thickBot="1" x14ac:dyDescent="0.35">
      <c r="C15" s="283" t="s">
        <v>177</v>
      </c>
      <c r="D15" s="283"/>
      <c r="E15" s="283"/>
      <c r="F15" s="283"/>
    </row>
    <row r="16" spans="3:256" ht="20.25" x14ac:dyDescent="0.3">
      <c r="C16" s="9"/>
      <c r="D16" s="9"/>
      <c r="E16" s="9"/>
      <c r="F16" s="9"/>
    </row>
    <row r="17" spans="2:6" ht="13.5" thickBot="1" x14ac:dyDescent="0.25">
      <c r="C17" s="10"/>
      <c r="D17" s="10"/>
      <c r="E17" s="10"/>
      <c r="F17" s="10"/>
    </row>
    <row r="18" spans="2:6" x14ac:dyDescent="0.2">
      <c r="C18" s="226"/>
      <c r="D18" s="227" t="s">
        <v>233</v>
      </c>
      <c r="E18" s="227" t="s">
        <v>234</v>
      </c>
      <c r="F18" s="228" t="s">
        <v>235</v>
      </c>
    </row>
    <row r="19" spans="2:6" x14ac:dyDescent="0.2">
      <c r="C19" s="28" t="s">
        <v>298</v>
      </c>
      <c r="D19" s="35">
        <v>0.1</v>
      </c>
      <c r="E19" s="35">
        <v>0.1</v>
      </c>
      <c r="F19" s="224">
        <v>0.1</v>
      </c>
    </row>
    <row r="20" spans="2:6" x14ac:dyDescent="0.2">
      <c r="C20" s="28" t="s">
        <v>176</v>
      </c>
      <c r="D20" s="35">
        <v>0.03</v>
      </c>
      <c r="E20" s="7" t="s">
        <v>236</v>
      </c>
      <c r="F20" s="224">
        <v>0.7</v>
      </c>
    </row>
    <row r="21" spans="2:6" ht="13.5" thickBot="1" x14ac:dyDescent="0.25">
      <c r="C21" s="229"/>
      <c r="D21" s="230"/>
      <c r="E21" s="231" t="s">
        <v>237</v>
      </c>
      <c r="F21" s="232">
        <v>0.3</v>
      </c>
    </row>
    <row r="22" spans="2:6" ht="13.5" thickBot="1" x14ac:dyDescent="0.25">
      <c r="C22" s="277" t="s">
        <v>175</v>
      </c>
      <c r="D22" s="278"/>
      <c r="E22" s="278"/>
      <c r="F22" s="279"/>
    </row>
    <row r="23" spans="2:6" x14ac:dyDescent="0.2">
      <c r="C23" s="233" t="s">
        <v>173</v>
      </c>
      <c r="D23" s="227" t="s">
        <v>232</v>
      </c>
      <c r="E23" s="227" t="s">
        <v>174</v>
      </c>
      <c r="F23" s="228" t="s">
        <v>203</v>
      </c>
    </row>
    <row r="24" spans="2:6" x14ac:dyDescent="0.2">
      <c r="B24" s="59">
        <v>14</v>
      </c>
      <c r="C24" s="234" t="s">
        <v>308</v>
      </c>
      <c r="D24" s="37">
        <v>26</v>
      </c>
      <c r="E24" s="71">
        <v>1900000</v>
      </c>
      <c r="F24" s="235">
        <v>117</v>
      </c>
    </row>
    <row r="25" spans="2:6" x14ac:dyDescent="0.2">
      <c r="B25" s="59">
        <v>150</v>
      </c>
      <c r="C25" s="236" t="s">
        <v>309</v>
      </c>
      <c r="D25" s="38">
        <v>7980</v>
      </c>
      <c r="E25" s="72">
        <v>180000</v>
      </c>
      <c r="F25" s="237">
        <v>17934</v>
      </c>
    </row>
    <row r="26" spans="2:6" ht="13.5" thickBot="1" x14ac:dyDescent="0.25">
      <c r="B26" s="59"/>
      <c r="C26" s="238" t="s">
        <v>310</v>
      </c>
      <c r="D26" s="239">
        <v>2500</v>
      </c>
      <c r="E26" s="240">
        <v>120000</v>
      </c>
      <c r="F26" s="241">
        <v>6000</v>
      </c>
    </row>
    <row r="27" spans="2:6" ht="13.5" thickBot="1" x14ac:dyDescent="0.25">
      <c r="B27" s="59"/>
      <c r="C27" s="14"/>
      <c r="D27" s="14"/>
      <c r="E27" s="14"/>
      <c r="F27" s="14"/>
    </row>
    <row r="28" spans="2:6" ht="26.25" thickBot="1" x14ac:dyDescent="0.25">
      <c r="B28" s="59"/>
      <c r="C28" s="15" t="s">
        <v>265</v>
      </c>
      <c r="D28" s="58" t="s">
        <v>267</v>
      </c>
      <c r="E28" s="58" t="s">
        <v>268</v>
      </c>
      <c r="F28" s="242" t="s">
        <v>269</v>
      </c>
    </row>
    <row r="29" spans="2:6" ht="20.25" customHeight="1" x14ac:dyDescent="0.2">
      <c r="B29" s="59">
        <v>75</v>
      </c>
      <c r="C29" s="16" t="str">
        <f>IF($F$13="Años","Año 2","Mes 2")</f>
        <v>Año 2</v>
      </c>
      <c r="D29" s="40">
        <f>B29/100</f>
        <v>0.75</v>
      </c>
      <c r="E29" s="40">
        <f>+D29</f>
        <v>0.75</v>
      </c>
      <c r="F29" s="43">
        <f>+E29</f>
        <v>0.75</v>
      </c>
    </row>
    <row r="30" spans="2:6" ht="21.75" customHeight="1" x14ac:dyDescent="0.2">
      <c r="B30" s="59">
        <v>100</v>
      </c>
      <c r="C30" s="17" t="str">
        <f>IF($F$13="Años","Año 3","Mes 3")</f>
        <v>Año 3</v>
      </c>
      <c r="D30" s="40">
        <f>B30/100</f>
        <v>1</v>
      </c>
      <c r="E30" s="41">
        <f>+D30</f>
        <v>1</v>
      </c>
      <c r="F30" s="44">
        <f>+E30</f>
        <v>1</v>
      </c>
    </row>
    <row r="31" spans="2:6" ht="21.75" customHeight="1" x14ac:dyDescent="0.2">
      <c r="B31" s="59">
        <v>40</v>
      </c>
      <c r="C31" s="17" t="str">
        <f>IF($F$13="Años","Año 4","Mes 4")</f>
        <v>Año 4</v>
      </c>
      <c r="D31" s="40"/>
      <c r="E31" s="41"/>
      <c r="F31" s="44"/>
    </row>
    <row r="32" spans="2:6" ht="19.5" customHeight="1" thickBot="1" x14ac:dyDescent="0.25">
      <c r="B32" s="59">
        <v>50</v>
      </c>
      <c r="C32" s="18" t="str">
        <f>IF($F$13="Años","Año 5","Mes 5")</f>
        <v>Año 5</v>
      </c>
      <c r="D32" s="243"/>
      <c r="E32" s="42"/>
      <c r="F32" s="45"/>
    </row>
    <row r="33" spans="2:6" hidden="1" x14ac:dyDescent="0.2">
      <c r="C33" s="16" t="str">
        <f>IF($F$13="Años","Año 6","Mes 6")</f>
        <v>Año 6</v>
      </c>
      <c r="D33" s="40"/>
      <c r="E33" s="40"/>
      <c r="F33" s="43"/>
    </row>
    <row r="34" spans="2:6" hidden="1" x14ac:dyDescent="0.2">
      <c r="C34" s="17" t="str">
        <f>IF($F$13="Años","Año 7","Mes 7")</f>
        <v>Año 7</v>
      </c>
      <c r="D34" s="41"/>
      <c r="E34" s="41"/>
      <c r="F34" s="44"/>
    </row>
    <row r="35" spans="2:6" hidden="1" x14ac:dyDescent="0.2">
      <c r="C35" s="17" t="str">
        <f>IF($F$13="Años","Año 8","Mes 8")</f>
        <v>Año 8</v>
      </c>
      <c r="D35" s="41"/>
      <c r="E35" s="41"/>
      <c r="F35" s="44"/>
    </row>
    <row r="36" spans="2:6" hidden="1" x14ac:dyDescent="0.2">
      <c r="C36" s="17" t="str">
        <f>IF($F$13="Años","Año 9","Mes 9")</f>
        <v>Año 9</v>
      </c>
      <c r="D36" s="41"/>
      <c r="E36" s="41"/>
      <c r="F36" s="44"/>
    </row>
    <row r="37" spans="2:6" hidden="1" x14ac:dyDescent="0.2">
      <c r="C37" s="17" t="str">
        <f>IF($F$13="Años","Año 10","Mes 10")</f>
        <v>Año 10</v>
      </c>
      <c r="D37" s="41"/>
      <c r="E37" s="41"/>
      <c r="F37" s="44"/>
    </row>
    <row r="38" spans="2:6" hidden="1" x14ac:dyDescent="0.2">
      <c r="C38" s="17" t="str">
        <f>IF($F$13="Años","Año 11","Mes 11")</f>
        <v>Año 11</v>
      </c>
      <c r="D38" s="41"/>
      <c r="E38" s="41"/>
      <c r="F38" s="44"/>
    </row>
    <row r="39" spans="2:6" hidden="1" x14ac:dyDescent="0.2">
      <c r="C39" s="17" t="str">
        <f>IF($F$13="Años","Año 12","Mes 12")</f>
        <v>Año 12</v>
      </c>
      <c r="D39" s="41"/>
      <c r="E39" s="41"/>
      <c r="F39" s="44"/>
    </row>
    <row r="40" spans="2:6" hidden="1" x14ac:dyDescent="0.2">
      <c r="C40" s="17" t="str">
        <f>IF($F$13="Años","Año 13","")</f>
        <v>Año 13</v>
      </c>
      <c r="D40" s="41"/>
      <c r="E40" s="41"/>
      <c r="F40" s="44"/>
    </row>
    <row r="41" spans="2:6" hidden="1" x14ac:dyDescent="0.2">
      <c r="C41" s="17" t="str">
        <f>IF($F$13="Años","Año 14","")</f>
        <v>Año 14</v>
      </c>
      <c r="D41" s="41"/>
      <c r="E41" s="41"/>
      <c r="F41" s="44"/>
    </row>
    <row r="42" spans="2:6" ht="13.5" hidden="1" thickBot="1" x14ac:dyDescent="0.25">
      <c r="C42" s="18" t="str">
        <f>IF($F$13="Años","Año 15","")</f>
        <v>Año 15</v>
      </c>
      <c r="D42" s="42"/>
      <c r="E42" s="42"/>
      <c r="F42" s="45"/>
    </row>
    <row r="43" spans="2:6" x14ac:dyDescent="0.2">
      <c r="B43" s="63"/>
      <c r="C43" s="63"/>
      <c r="D43" s="63"/>
      <c r="E43" s="63"/>
      <c r="F43" s="63"/>
    </row>
    <row r="44" spans="2:6" x14ac:dyDescent="0.2">
      <c r="B44" s="60"/>
      <c r="C44" s="61"/>
      <c r="D44" s="62"/>
      <c r="E44" s="68"/>
      <c r="F44" s="61"/>
    </row>
    <row r="45" spans="2:6" x14ac:dyDescent="0.2">
      <c r="B45" s="64"/>
      <c r="C45" s="64"/>
      <c r="D45" s="64"/>
      <c r="E45" s="64"/>
      <c r="F45" s="64"/>
    </row>
    <row r="46" spans="2:6" ht="21" thickBot="1" x14ac:dyDescent="0.35">
      <c r="C46" s="283" t="s">
        <v>55</v>
      </c>
      <c r="D46" s="283"/>
      <c r="E46" s="283"/>
      <c r="F46" s="283"/>
    </row>
    <row r="47" spans="2:6" x14ac:dyDescent="0.2">
      <c r="C47" s="10"/>
      <c r="D47" s="10"/>
      <c r="E47" s="10"/>
      <c r="F47" s="10"/>
    </row>
    <row r="48" spans="2:6" ht="13.5" thickBot="1" x14ac:dyDescent="0.25">
      <c r="C48" s="14"/>
      <c r="D48" s="14"/>
      <c r="E48" s="14"/>
      <c r="F48" s="14"/>
    </row>
    <row r="49" spans="3:6" x14ac:dyDescent="0.2">
      <c r="C49" s="19" t="s">
        <v>222</v>
      </c>
      <c r="D49" s="20">
        <v>515000</v>
      </c>
      <c r="E49" s="19" t="s">
        <v>179</v>
      </c>
      <c r="F49" s="21">
        <v>0.09</v>
      </c>
    </row>
    <row r="50" spans="3:6" x14ac:dyDescent="0.2">
      <c r="C50" s="22" t="s">
        <v>229</v>
      </c>
      <c r="D50" s="20">
        <v>2</v>
      </c>
      <c r="E50" s="22" t="s">
        <v>223</v>
      </c>
      <c r="F50" s="21">
        <v>0.1925</v>
      </c>
    </row>
    <row r="51" spans="3:6" ht="13.5" thickBot="1" x14ac:dyDescent="0.25">
      <c r="C51" s="23" t="s">
        <v>178</v>
      </c>
      <c r="D51" s="20">
        <v>61500</v>
      </c>
      <c r="E51" s="23" t="s">
        <v>181</v>
      </c>
      <c r="F51" s="21">
        <v>0.03</v>
      </c>
    </row>
    <row r="52" spans="3:6" ht="13.5" thickBot="1" x14ac:dyDescent="0.25">
      <c r="C52" s="14"/>
      <c r="D52" s="14"/>
      <c r="E52" s="14"/>
      <c r="F52" s="14"/>
    </row>
    <row r="53" spans="3:6" ht="13.5" thickBot="1" x14ac:dyDescent="0.25">
      <c r="C53" s="24" t="s">
        <v>180</v>
      </c>
      <c r="D53" s="25"/>
      <c r="E53" s="14"/>
      <c r="F53" s="14"/>
    </row>
    <row r="54" spans="3:6" x14ac:dyDescent="0.2">
      <c r="C54" s="26" t="s">
        <v>108</v>
      </c>
      <c r="D54" s="27">
        <v>4.1700000000000001E-2</v>
      </c>
      <c r="E54" s="14"/>
    </row>
    <row r="55" spans="3:6" x14ac:dyDescent="0.2">
      <c r="C55" s="28" t="s">
        <v>169</v>
      </c>
      <c r="D55" s="29">
        <v>8.4000000000000005E-2</v>
      </c>
      <c r="E55" s="14"/>
    </row>
    <row r="56" spans="3:6" x14ac:dyDescent="0.2">
      <c r="C56" s="28" t="s">
        <v>109</v>
      </c>
      <c r="D56" s="29">
        <v>8.4000000000000005E-2</v>
      </c>
      <c r="E56" s="14"/>
    </row>
    <row r="57" spans="3:6" ht="13.5" thickBot="1" x14ac:dyDescent="0.25">
      <c r="C57" s="30" t="s">
        <v>170</v>
      </c>
      <c r="D57" s="31">
        <v>0.12</v>
      </c>
      <c r="E57" s="14"/>
    </row>
    <row r="58" spans="3:6" ht="13.5" thickBot="1" x14ac:dyDescent="0.25">
      <c r="C58" s="14"/>
      <c r="D58" s="14"/>
      <c r="E58" s="14"/>
      <c r="F58" s="14"/>
    </row>
    <row r="59" spans="3:6" ht="13.5" thickBot="1" x14ac:dyDescent="0.25">
      <c r="C59" s="277" t="s">
        <v>182</v>
      </c>
      <c r="D59" s="278"/>
      <c r="E59" s="278"/>
      <c r="F59" s="279"/>
    </row>
    <row r="60" spans="3:6" x14ac:dyDescent="0.2">
      <c r="C60" s="244" t="s">
        <v>186</v>
      </c>
      <c r="D60" s="13" t="s">
        <v>183</v>
      </c>
      <c r="E60" s="13" t="s">
        <v>184</v>
      </c>
      <c r="F60" s="245"/>
    </row>
    <row r="61" spans="3:6" x14ac:dyDescent="0.2">
      <c r="C61" s="246" t="s">
        <v>297</v>
      </c>
      <c r="D61" s="37">
        <v>1</v>
      </c>
      <c r="E61" s="69">
        <v>4000000</v>
      </c>
      <c r="F61" s="245"/>
    </row>
    <row r="62" spans="3:6" x14ac:dyDescent="0.2">
      <c r="C62" s="247" t="s">
        <v>312</v>
      </c>
      <c r="D62" s="48">
        <v>1</v>
      </c>
      <c r="E62" s="69">
        <v>4000000</v>
      </c>
      <c r="F62" s="245"/>
    </row>
    <row r="63" spans="3:6" x14ac:dyDescent="0.2">
      <c r="C63" s="247" t="s">
        <v>313</v>
      </c>
      <c r="D63" s="48">
        <v>1</v>
      </c>
      <c r="E63" s="69">
        <v>4000000</v>
      </c>
      <c r="F63" s="245"/>
    </row>
    <row r="64" spans="3:6" x14ac:dyDescent="0.2">
      <c r="C64" s="248" t="s">
        <v>314</v>
      </c>
      <c r="D64" s="38">
        <v>1</v>
      </c>
      <c r="E64" s="69">
        <v>4000000</v>
      </c>
      <c r="F64" s="245"/>
    </row>
    <row r="65" spans="3:6" x14ac:dyDescent="0.2">
      <c r="C65" s="249"/>
      <c r="D65" s="39"/>
      <c r="E65" s="69"/>
      <c r="F65" s="245"/>
    </row>
    <row r="66" spans="3:6" ht="13.5" thickBot="1" x14ac:dyDescent="0.25">
      <c r="C66" s="250"/>
      <c r="D66" s="251"/>
      <c r="E66" s="251"/>
      <c r="F66" s="252"/>
    </row>
    <row r="67" spans="3:6" ht="13.5" thickBot="1" x14ac:dyDescent="0.25">
      <c r="C67" s="277" t="s">
        <v>185</v>
      </c>
      <c r="D67" s="278"/>
      <c r="E67" s="278"/>
      <c r="F67" s="279"/>
    </row>
    <row r="68" spans="3:6" x14ac:dyDescent="0.2">
      <c r="C68" s="11" t="s">
        <v>186</v>
      </c>
      <c r="D68" s="11" t="s">
        <v>183</v>
      </c>
      <c r="E68" s="11" t="s">
        <v>184</v>
      </c>
    </row>
    <row r="69" spans="3:6" x14ac:dyDescent="0.2">
      <c r="C69" s="46" t="s">
        <v>311</v>
      </c>
      <c r="D69" s="37">
        <v>5</v>
      </c>
      <c r="E69" s="69">
        <v>2400000</v>
      </c>
    </row>
    <row r="70" spans="3:6" x14ac:dyDescent="0.2">
      <c r="C70" s="47"/>
      <c r="D70" s="48"/>
      <c r="E70" s="69"/>
    </row>
    <row r="71" spans="3:6" x14ac:dyDescent="0.2">
      <c r="C71" s="47"/>
      <c r="D71" s="48"/>
      <c r="E71" s="69"/>
    </row>
    <row r="72" spans="3:6" x14ac:dyDescent="0.2">
      <c r="C72" s="49"/>
      <c r="D72" s="38"/>
      <c r="E72" s="69"/>
    </row>
    <row r="73" spans="3:6" x14ac:dyDescent="0.2">
      <c r="C73" s="50"/>
      <c r="D73" s="39"/>
      <c r="E73" s="69"/>
    </row>
    <row r="74" spans="3:6" ht="13.5" thickBot="1" x14ac:dyDescent="0.25">
      <c r="C74" s="14"/>
      <c r="D74" s="14"/>
      <c r="E74" s="14"/>
      <c r="F74" s="14"/>
    </row>
    <row r="75" spans="3:6" ht="13.5" thickBot="1" x14ac:dyDescent="0.25">
      <c r="C75" s="277" t="s">
        <v>258</v>
      </c>
      <c r="D75" s="278"/>
      <c r="E75" s="278"/>
      <c r="F75" s="279"/>
    </row>
    <row r="76" spans="3:6" x14ac:dyDescent="0.2">
      <c r="C76" s="11" t="s">
        <v>186</v>
      </c>
      <c r="D76" s="11" t="s">
        <v>183</v>
      </c>
      <c r="E76" s="11" t="s">
        <v>184</v>
      </c>
    </row>
    <row r="77" spans="3:6" x14ac:dyDescent="0.2">
      <c r="C77" s="46" t="s">
        <v>315</v>
      </c>
      <c r="D77" s="37">
        <v>5</v>
      </c>
      <c r="E77" s="69">
        <v>6000000</v>
      </c>
    </row>
    <row r="78" spans="3:6" x14ac:dyDescent="0.2">
      <c r="C78" s="47"/>
      <c r="D78" s="48"/>
      <c r="E78" s="69"/>
    </row>
    <row r="79" spans="3:6" x14ac:dyDescent="0.2">
      <c r="C79" s="47"/>
      <c r="D79" s="48"/>
      <c r="E79" s="69"/>
    </row>
    <row r="80" spans="3:6" x14ac:dyDescent="0.2">
      <c r="C80" s="49"/>
      <c r="D80" s="38"/>
      <c r="E80" s="69"/>
    </row>
    <row r="81" spans="3:6" x14ac:dyDescent="0.2">
      <c r="C81" s="50"/>
      <c r="D81" s="39"/>
      <c r="E81" s="69"/>
    </row>
    <row r="82" spans="3:6" x14ac:dyDescent="0.2">
      <c r="C82" s="14"/>
      <c r="D82" s="14"/>
      <c r="E82" s="14"/>
      <c r="F82" s="14"/>
    </row>
    <row r="83" spans="3:6" ht="21" thickBot="1" x14ac:dyDescent="0.35">
      <c r="C83" s="283" t="s">
        <v>205</v>
      </c>
      <c r="D83" s="283"/>
      <c r="E83" s="283"/>
      <c r="F83" s="283"/>
    </row>
    <row r="84" spans="3:6" ht="13.5" thickBot="1" x14ac:dyDescent="0.25">
      <c r="C84" s="14"/>
      <c r="D84" s="14"/>
      <c r="E84" s="14"/>
      <c r="F84" s="14"/>
    </row>
    <row r="85" spans="3:6" ht="13.5" thickBot="1" x14ac:dyDescent="0.25">
      <c r="C85" s="277" t="s">
        <v>69</v>
      </c>
      <c r="D85" s="278"/>
      <c r="E85" s="278"/>
      <c r="F85" s="279"/>
    </row>
    <row r="86" spans="3:6" x14ac:dyDescent="0.2">
      <c r="C86" s="11" t="s">
        <v>186</v>
      </c>
      <c r="D86" s="11" t="s">
        <v>217</v>
      </c>
      <c r="E86" s="11" t="s">
        <v>188</v>
      </c>
    </row>
    <row r="87" spans="3:6" x14ac:dyDescent="0.2">
      <c r="C87" s="54" t="s">
        <v>316</v>
      </c>
      <c r="D87" s="37">
        <v>3</v>
      </c>
      <c r="E87" s="71">
        <v>235000000</v>
      </c>
    </row>
    <row r="88" spans="3:6" x14ac:dyDescent="0.2">
      <c r="C88" s="55" t="s">
        <v>317</v>
      </c>
      <c r="D88" s="48">
        <v>3</v>
      </c>
      <c r="E88" s="69">
        <v>75000000</v>
      </c>
    </row>
    <row r="89" spans="3:6" x14ac:dyDescent="0.2">
      <c r="C89" s="55" t="s">
        <v>310</v>
      </c>
      <c r="D89" s="48">
        <v>3</v>
      </c>
      <c r="E89" s="69">
        <v>60000000</v>
      </c>
    </row>
    <row r="90" spans="3:6" x14ac:dyDescent="0.2">
      <c r="C90" s="56" t="s">
        <v>318</v>
      </c>
      <c r="D90" s="38">
        <v>3</v>
      </c>
      <c r="E90" s="72">
        <v>30000000</v>
      </c>
    </row>
    <row r="91" spans="3:6" x14ac:dyDescent="0.2">
      <c r="C91" s="55"/>
      <c r="D91" s="53"/>
      <c r="E91" s="51"/>
    </row>
    <row r="92" spans="3:6" x14ac:dyDescent="0.2">
      <c r="C92" s="56"/>
      <c r="D92" s="38"/>
      <c r="E92" s="52"/>
    </row>
    <row r="93" spans="3:6" x14ac:dyDescent="0.2">
      <c r="C93" s="55"/>
      <c r="D93" s="53"/>
      <c r="E93" s="51"/>
    </row>
    <row r="94" spans="3:6" x14ac:dyDescent="0.2">
      <c r="C94" s="55"/>
      <c r="D94" s="53"/>
      <c r="E94" s="51"/>
    </row>
    <row r="95" spans="3:6" x14ac:dyDescent="0.2">
      <c r="C95" s="55"/>
      <c r="D95" s="53"/>
      <c r="E95" s="51"/>
    </row>
    <row r="96" spans="3:6" x14ac:dyDescent="0.2">
      <c r="C96" s="55"/>
      <c r="D96" s="48"/>
      <c r="E96" s="51"/>
    </row>
    <row r="97" spans="3:6" x14ac:dyDescent="0.2">
      <c r="C97" s="55"/>
      <c r="D97" s="48"/>
      <c r="E97" s="51"/>
    </row>
    <row r="98" spans="3:6" x14ac:dyDescent="0.2">
      <c r="C98" s="55"/>
      <c r="D98" s="48"/>
      <c r="E98" s="51"/>
    </row>
    <row r="99" spans="3:6" x14ac:dyDescent="0.2">
      <c r="C99" s="55"/>
      <c r="D99" s="48"/>
      <c r="E99" s="51"/>
    </row>
    <row r="100" spans="3:6" x14ac:dyDescent="0.2">
      <c r="C100" s="57"/>
      <c r="D100" s="39"/>
      <c r="E100" s="39"/>
    </row>
    <row r="101" spans="3:6" ht="13.5" thickBot="1" x14ac:dyDescent="0.25"/>
    <row r="102" spans="3:6" ht="13.5" thickBot="1" x14ac:dyDescent="0.25">
      <c r="C102" s="277" t="s">
        <v>70</v>
      </c>
      <c r="D102" s="278"/>
      <c r="E102" s="278"/>
      <c r="F102" s="279"/>
    </row>
    <row r="103" spans="3:6" x14ac:dyDescent="0.2">
      <c r="C103" s="11" t="s">
        <v>186</v>
      </c>
      <c r="D103" s="11" t="s">
        <v>255</v>
      </c>
      <c r="E103" s="11" t="s">
        <v>188</v>
      </c>
    </row>
    <row r="104" spans="3:6" x14ac:dyDescent="0.2">
      <c r="C104" s="54" t="s">
        <v>321</v>
      </c>
      <c r="D104" s="37">
        <v>3</v>
      </c>
      <c r="E104" s="69">
        <v>3000000</v>
      </c>
    </row>
    <row r="105" spans="3:6" x14ac:dyDescent="0.2">
      <c r="C105" s="55" t="s">
        <v>322</v>
      </c>
      <c r="D105" s="48">
        <v>3</v>
      </c>
      <c r="E105" s="69">
        <v>10000000</v>
      </c>
    </row>
    <row r="106" spans="3:6" x14ac:dyDescent="0.2">
      <c r="C106" s="55" t="s">
        <v>323</v>
      </c>
      <c r="D106" s="48">
        <v>3</v>
      </c>
      <c r="E106" s="69">
        <v>10000000</v>
      </c>
    </row>
    <row r="107" spans="3:6" x14ac:dyDescent="0.2">
      <c r="C107" s="56" t="s">
        <v>324</v>
      </c>
      <c r="D107" s="38">
        <v>3</v>
      </c>
      <c r="E107" s="70">
        <v>30000000</v>
      </c>
    </row>
    <row r="108" spans="3:6" x14ac:dyDescent="0.2">
      <c r="C108" s="55" t="s">
        <v>325</v>
      </c>
      <c r="D108" s="48">
        <v>3</v>
      </c>
      <c r="E108" s="70">
        <v>15000000</v>
      </c>
    </row>
    <row r="109" spans="3:6" x14ac:dyDescent="0.2">
      <c r="C109" s="55"/>
      <c r="D109" s="48"/>
      <c r="E109" s="48"/>
    </row>
    <row r="110" spans="3:6" x14ac:dyDescent="0.2">
      <c r="C110" s="55"/>
      <c r="D110" s="48"/>
      <c r="E110" s="48"/>
    </row>
    <row r="111" spans="3:6" x14ac:dyDescent="0.2">
      <c r="C111" s="55"/>
      <c r="D111" s="48"/>
      <c r="E111" s="48"/>
    </row>
    <row r="112" spans="3:6" x14ac:dyDescent="0.2">
      <c r="C112" s="55"/>
      <c r="D112" s="48"/>
      <c r="E112" s="48"/>
    </row>
    <row r="113" spans="3:6" x14ac:dyDescent="0.2">
      <c r="C113" s="57"/>
      <c r="D113" s="39"/>
      <c r="E113" s="39"/>
    </row>
    <row r="114" spans="3:6" x14ac:dyDescent="0.2"/>
    <row r="115" spans="3:6" ht="21" thickBot="1" x14ac:dyDescent="0.35">
      <c r="C115" s="283" t="s">
        <v>190</v>
      </c>
      <c r="D115" s="283"/>
      <c r="E115" s="283"/>
      <c r="F115" s="283"/>
    </row>
    <row r="116" spans="3:6" x14ac:dyDescent="0.2"/>
    <row r="117" spans="3:6" ht="13.5" thickBot="1" x14ac:dyDescent="0.25"/>
    <row r="118" spans="3:6" ht="13.5" thickBot="1" x14ac:dyDescent="0.25">
      <c r="C118" s="24" t="s">
        <v>294</v>
      </c>
      <c r="D118" s="25"/>
    </row>
    <row r="119" spans="3:6" x14ac:dyDescent="0.2">
      <c r="C119" s="32" t="s">
        <v>191</v>
      </c>
      <c r="D119" s="73">
        <v>0.75</v>
      </c>
    </row>
    <row r="120" spans="3:6" x14ac:dyDescent="0.2">
      <c r="C120" s="7" t="s">
        <v>192</v>
      </c>
      <c r="D120" s="74">
        <v>0.75</v>
      </c>
    </row>
    <row r="121" spans="3:6" x14ac:dyDescent="0.2">
      <c r="C121" s="7" t="s">
        <v>212</v>
      </c>
      <c r="D121" s="74">
        <v>1</v>
      </c>
    </row>
    <row r="122" spans="3:6" ht="13.5" thickBot="1" x14ac:dyDescent="0.25">
      <c r="C122" s="12" t="s">
        <v>211</v>
      </c>
      <c r="D122" s="75">
        <v>1</v>
      </c>
    </row>
    <row r="123" spans="3:6" ht="13.5" thickBot="1" x14ac:dyDescent="0.25">
      <c r="C123" s="24" t="s">
        <v>193</v>
      </c>
      <c r="D123" s="76"/>
    </row>
    <row r="124" spans="3:6" x14ac:dyDescent="0.2">
      <c r="C124" s="32" t="s">
        <v>194</v>
      </c>
      <c r="D124" s="73">
        <v>0.6</v>
      </c>
    </row>
    <row r="125" spans="3:6" x14ac:dyDescent="0.2">
      <c r="C125" s="7" t="s">
        <v>224</v>
      </c>
      <c r="D125" s="74">
        <v>0.15</v>
      </c>
    </row>
    <row r="126" spans="3:6" x14ac:dyDescent="0.2">
      <c r="C126" s="7" t="s">
        <v>225</v>
      </c>
      <c r="D126" s="74">
        <v>0.15</v>
      </c>
    </row>
    <row r="127" spans="3:6" ht="13.5" thickBot="1" x14ac:dyDescent="0.25">
      <c r="C127" s="12" t="s">
        <v>226</v>
      </c>
      <c r="D127" s="75">
        <v>0.1</v>
      </c>
    </row>
    <row r="128" spans="3:6" ht="13.5" thickBot="1" x14ac:dyDescent="0.25">
      <c r="C128" s="33" t="s">
        <v>238</v>
      </c>
      <c r="D128" s="77"/>
    </row>
    <row r="129" spans="3:6" x14ac:dyDescent="0.2">
      <c r="C129" s="32" t="s">
        <v>264</v>
      </c>
      <c r="D129" s="36">
        <v>45</v>
      </c>
    </row>
    <row r="130" spans="3:6" x14ac:dyDescent="0.2">
      <c r="C130" s="7" t="s">
        <v>48</v>
      </c>
      <c r="D130" s="36">
        <v>1</v>
      </c>
    </row>
    <row r="131" spans="3:6" x14ac:dyDescent="0.2">
      <c r="C131" s="7" t="s">
        <v>208</v>
      </c>
      <c r="D131" s="36">
        <v>30</v>
      </c>
    </row>
    <row r="132" spans="3:6" x14ac:dyDescent="0.2"/>
    <row r="133" spans="3:6" ht="21" thickBot="1" x14ac:dyDescent="0.35">
      <c r="C133" s="283" t="s">
        <v>196</v>
      </c>
      <c r="D133" s="283"/>
      <c r="E133" s="283"/>
      <c r="F133" s="283"/>
    </row>
    <row r="134" spans="3:6" x14ac:dyDescent="0.2"/>
    <row r="135" spans="3:6" ht="13.5" thickBot="1" x14ac:dyDescent="0.25"/>
    <row r="136" spans="3:6" ht="13.5" thickBot="1" x14ac:dyDescent="0.25">
      <c r="C136" s="277" t="s">
        <v>256</v>
      </c>
      <c r="D136" s="278"/>
      <c r="E136" s="278"/>
      <c r="F136" s="279"/>
    </row>
    <row r="137" spans="3:6" x14ac:dyDescent="0.2"/>
    <row r="138" spans="3:6" x14ac:dyDescent="0.2">
      <c r="C138" s="11" t="s">
        <v>186</v>
      </c>
      <c r="D138" s="11" t="s">
        <v>227</v>
      </c>
      <c r="E138" s="11" t="s">
        <v>197</v>
      </c>
    </row>
    <row r="139" spans="3:6" x14ac:dyDescent="0.2">
      <c r="C139" s="7" t="s">
        <v>259</v>
      </c>
      <c r="D139" s="41">
        <v>0.1676</v>
      </c>
      <c r="E139" s="78">
        <v>3</v>
      </c>
    </row>
    <row r="140" spans="3:6" x14ac:dyDescent="0.2">
      <c r="C140" s="7" t="s">
        <v>260</v>
      </c>
      <c r="D140" s="41">
        <v>0.16</v>
      </c>
      <c r="E140" s="78">
        <v>3</v>
      </c>
    </row>
    <row r="141" spans="3:6" x14ac:dyDescent="0.2">
      <c r="C141" s="7" t="s">
        <v>263</v>
      </c>
      <c r="D141" s="41">
        <v>0.15</v>
      </c>
      <c r="E141" s="78">
        <v>3</v>
      </c>
    </row>
    <row r="142" spans="3:6" x14ac:dyDescent="0.2"/>
    <row r="143" spans="3:6" x14ac:dyDescent="0.2"/>
    <row r="144" spans="3:6" ht="21" thickBot="1" x14ac:dyDescent="0.35">
      <c r="C144" s="283" t="s">
        <v>199</v>
      </c>
      <c r="D144" s="283"/>
      <c r="E144" s="283"/>
      <c r="F144" s="283"/>
    </row>
    <row r="145" spans="3:6" x14ac:dyDescent="0.2"/>
    <row r="146" spans="3:6" x14ac:dyDescent="0.2"/>
    <row r="147" spans="3:6" x14ac:dyDescent="0.2"/>
    <row r="148" spans="3:6" x14ac:dyDescent="0.2">
      <c r="C148" s="7" t="s">
        <v>166</v>
      </c>
      <c r="D148" s="21">
        <v>0.03</v>
      </c>
    </row>
    <row r="149" spans="3:6" x14ac:dyDescent="0.2"/>
    <row r="150" spans="3:6" x14ac:dyDescent="0.2">
      <c r="C150" s="5" t="s">
        <v>53</v>
      </c>
      <c r="D150" s="6"/>
      <c r="E150" s="34" t="s">
        <v>200</v>
      </c>
      <c r="F150" s="6"/>
    </row>
    <row r="151" spans="3:6" x14ac:dyDescent="0.2">
      <c r="C151" s="65" t="s">
        <v>327</v>
      </c>
      <c r="D151" s="67">
        <v>3000000</v>
      </c>
      <c r="E151" s="66"/>
      <c r="F151" s="67">
        <v>0</v>
      </c>
    </row>
    <row r="152" spans="3:6" x14ac:dyDescent="0.2">
      <c r="C152" s="65" t="s">
        <v>328</v>
      </c>
      <c r="D152" s="67">
        <v>450000</v>
      </c>
      <c r="E152" s="66"/>
      <c r="F152" s="67">
        <v>0</v>
      </c>
    </row>
    <row r="153" spans="3:6" x14ac:dyDescent="0.2">
      <c r="C153" s="65" t="s">
        <v>303</v>
      </c>
      <c r="D153" s="67">
        <v>300000</v>
      </c>
      <c r="E153" s="66"/>
      <c r="F153" s="67">
        <v>0</v>
      </c>
    </row>
    <row r="154" spans="3:6" x14ac:dyDescent="0.2">
      <c r="C154" s="65" t="s">
        <v>119</v>
      </c>
      <c r="D154" s="67">
        <v>400000</v>
      </c>
      <c r="E154" s="66"/>
      <c r="F154" s="67">
        <v>0</v>
      </c>
    </row>
    <row r="155" spans="3:6" x14ac:dyDescent="0.2">
      <c r="C155" s="65" t="s">
        <v>319</v>
      </c>
      <c r="D155" s="67">
        <v>1080000</v>
      </c>
      <c r="E155" s="66"/>
      <c r="F155" s="67">
        <v>0</v>
      </c>
    </row>
    <row r="156" spans="3:6" x14ac:dyDescent="0.2">
      <c r="C156" s="65" t="s">
        <v>320</v>
      </c>
      <c r="D156" s="67">
        <v>2600000</v>
      </c>
      <c r="E156" s="66"/>
      <c r="F156" s="67">
        <v>0</v>
      </c>
    </row>
    <row r="157" spans="3:6" x14ac:dyDescent="0.2">
      <c r="C157" s="65"/>
      <c r="D157" s="67">
        <v>0</v>
      </c>
      <c r="E157" s="66"/>
      <c r="F157" s="67">
        <v>0</v>
      </c>
    </row>
    <row r="158" spans="3:6" x14ac:dyDescent="0.2">
      <c r="C158" s="65"/>
      <c r="D158" s="67">
        <v>0</v>
      </c>
      <c r="E158" s="66"/>
      <c r="F158" s="67">
        <v>0</v>
      </c>
    </row>
    <row r="159" spans="3:6" x14ac:dyDescent="0.2">
      <c r="C159" s="65"/>
      <c r="D159" s="67">
        <v>0</v>
      </c>
      <c r="E159" s="65"/>
      <c r="F159" s="67">
        <v>0</v>
      </c>
    </row>
    <row r="160" spans="3:6" x14ac:dyDescent="0.2">
      <c r="C160" s="65"/>
      <c r="D160" s="67">
        <v>0</v>
      </c>
      <c r="E160" s="65"/>
      <c r="F160" s="67">
        <v>0</v>
      </c>
    </row>
    <row r="161" spans="3:6" x14ac:dyDescent="0.2">
      <c r="C161" s="65"/>
      <c r="D161" s="67">
        <v>0</v>
      </c>
      <c r="E161" s="65"/>
      <c r="F161" s="67">
        <v>0</v>
      </c>
    </row>
    <row r="162" spans="3:6" x14ac:dyDescent="0.2">
      <c r="C162" s="65"/>
      <c r="D162" s="67">
        <v>0</v>
      </c>
      <c r="E162" s="65"/>
      <c r="F162" s="67">
        <v>0</v>
      </c>
    </row>
    <row r="163" spans="3:6" x14ac:dyDescent="0.2">
      <c r="C163" s="65"/>
      <c r="D163" s="67">
        <v>0</v>
      </c>
      <c r="E163" s="65"/>
      <c r="F163" s="67">
        <v>0</v>
      </c>
    </row>
    <row r="164" spans="3:6" x14ac:dyDescent="0.2">
      <c r="C164" s="65"/>
      <c r="D164" s="67">
        <v>0</v>
      </c>
      <c r="E164" s="65"/>
      <c r="F164" s="67">
        <v>0</v>
      </c>
    </row>
    <row r="165" spans="3:6" x14ac:dyDescent="0.2">
      <c r="C165" s="65"/>
      <c r="D165" s="67">
        <v>0</v>
      </c>
      <c r="E165" s="65"/>
      <c r="F165" s="67">
        <v>0</v>
      </c>
    </row>
    <row r="166" spans="3:6" x14ac:dyDescent="0.2">
      <c r="C166" s="65"/>
      <c r="D166" s="67">
        <v>0</v>
      </c>
      <c r="E166" s="65"/>
      <c r="F166" s="67">
        <v>0</v>
      </c>
    </row>
    <row r="167" spans="3:6" x14ac:dyDescent="0.2">
      <c r="C167" s="65"/>
      <c r="D167" s="67">
        <v>0</v>
      </c>
      <c r="E167" s="66"/>
      <c r="F167" s="67">
        <v>0</v>
      </c>
    </row>
    <row r="168" spans="3:6" x14ac:dyDescent="0.2">
      <c r="C168" s="65"/>
      <c r="D168" s="67">
        <v>0</v>
      </c>
      <c r="E168" s="66"/>
      <c r="F168" s="67">
        <v>0</v>
      </c>
    </row>
    <row r="169" spans="3:6" x14ac:dyDescent="0.2"/>
    <row r="170" spans="3:6" x14ac:dyDescent="0.2">
      <c r="C170" s="284" t="s">
        <v>201</v>
      </c>
      <c r="D170" s="285"/>
    </row>
    <row r="171" spans="3:6" x14ac:dyDescent="0.2">
      <c r="C171" s="65"/>
      <c r="D171" s="67">
        <v>0</v>
      </c>
    </row>
    <row r="172" spans="3:6" x14ac:dyDescent="0.2">
      <c r="C172" s="65"/>
      <c r="D172" s="67">
        <v>0</v>
      </c>
    </row>
    <row r="173" spans="3:6" x14ac:dyDescent="0.2">
      <c r="C173" s="65"/>
      <c r="D173" s="67">
        <v>0</v>
      </c>
    </row>
    <row r="174" spans="3:6" x14ac:dyDescent="0.2">
      <c r="C174" s="65"/>
      <c r="D174" s="67">
        <v>0</v>
      </c>
    </row>
    <row r="175" spans="3:6" x14ac:dyDescent="0.2">
      <c r="C175" s="65"/>
      <c r="D175" s="67">
        <v>0</v>
      </c>
    </row>
    <row r="176" spans="3:6" x14ac:dyDescent="0.2">
      <c r="C176" s="65"/>
      <c r="D176" s="67">
        <v>0</v>
      </c>
    </row>
    <row r="177" spans="3:6" x14ac:dyDescent="0.2">
      <c r="C177" s="65"/>
      <c r="D177" s="67">
        <v>0</v>
      </c>
    </row>
    <row r="178" spans="3:6" x14ac:dyDescent="0.2">
      <c r="C178" s="65"/>
      <c r="D178" s="67">
        <v>0</v>
      </c>
    </row>
    <row r="179" spans="3:6" x14ac:dyDescent="0.2">
      <c r="C179" s="65"/>
      <c r="D179" s="67">
        <v>0</v>
      </c>
    </row>
    <row r="180" spans="3:6" x14ac:dyDescent="0.2">
      <c r="C180" s="65"/>
      <c r="D180" s="67">
        <v>0</v>
      </c>
    </row>
    <row r="181" spans="3:6" x14ac:dyDescent="0.2">
      <c r="C181" s="65"/>
      <c r="D181" s="67">
        <v>0</v>
      </c>
    </row>
    <row r="182" spans="3:6" x14ac:dyDescent="0.2">
      <c r="C182" s="65"/>
      <c r="D182" s="67">
        <v>0</v>
      </c>
    </row>
    <row r="183" spans="3:6" x14ac:dyDescent="0.2">
      <c r="C183" s="65"/>
      <c r="D183" s="67">
        <v>0</v>
      </c>
    </row>
    <row r="184" spans="3:6" x14ac:dyDescent="0.2">
      <c r="C184" s="65"/>
      <c r="D184" s="67">
        <v>0</v>
      </c>
    </row>
    <row r="185" spans="3:6" x14ac:dyDescent="0.2">
      <c r="C185" s="65"/>
      <c r="D185" s="35">
        <v>0</v>
      </c>
    </row>
    <row r="186" spans="3:6" x14ac:dyDescent="0.2">
      <c r="C186" s="65"/>
      <c r="D186" s="35">
        <v>0</v>
      </c>
    </row>
    <row r="187" spans="3:6" x14ac:dyDescent="0.2">
      <c r="C187" s="65"/>
      <c r="D187" s="67">
        <v>0</v>
      </c>
    </row>
    <row r="188" spans="3:6" x14ac:dyDescent="0.2">
      <c r="C188" s="65"/>
      <c r="D188" s="67">
        <v>0</v>
      </c>
    </row>
    <row r="189" spans="3:6" x14ac:dyDescent="0.2"/>
    <row r="190" spans="3:6" x14ac:dyDescent="0.2"/>
    <row r="191" spans="3:6" ht="21" thickBot="1" x14ac:dyDescent="0.35">
      <c r="C191" s="283" t="s">
        <v>266</v>
      </c>
      <c r="D191" s="283"/>
      <c r="E191" s="283"/>
      <c r="F191" s="283"/>
    </row>
  </sheetData>
  <sheetProtection selectLockedCells="1" selectUnlockedCells="1"/>
  <customSheetViews>
    <customSheetView guid="{4BF10618-D357-11D5-9338-EFF21189730A}" scale="90" showGridLines="0" outlineSymbols="0" showRuler="0">
      <selection activeCell="D6" sqref="D6:F6"/>
      <pageMargins left="0.75" right="0.75" top="1" bottom="1" header="0" footer="0"/>
      <pageSetup orientation="portrait" r:id="rId1"/>
      <headerFooter alignWithMargins="0"/>
    </customSheetView>
  </customSheetViews>
  <mergeCells count="17">
    <mergeCell ref="C83:F83"/>
    <mergeCell ref="C46:F46"/>
    <mergeCell ref="C59:F59"/>
    <mergeCell ref="C67:F67"/>
    <mergeCell ref="C191:F191"/>
    <mergeCell ref="C136:F136"/>
    <mergeCell ref="C144:F144"/>
    <mergeCell ref="C133:F133"/>
    <mergeCell ref="C85:F85"/>
    <mergeCell ref="C170:D170"/>
    <mergeCell ref="C102:F102"/>
    <mergeCell ref="C115:F115"/>
    <mergeCell ref="C75:F75"/>
    <mergeCell ref="C3:F3"/>
    <mergeCell ref="D6:F6"/>
    <mergeCell ref="C22:F22"/>
    <mergeCell ref="C15:F15"/>
  </mergeCells>
  <dataValidations count="1">
    <dataValidation type="list" allowBlank="1" showInputMessage="1" showErrorMessage="1" errorTitle="Inversiones" error="Debe escoger de la lista el tipo de unidad de medida para el periodo bien sea Años o Meses" sqref="F13">
      <formula1>$IP$13:$IP$14</formula1>
    </dataValidation>
  </dataValidations>
  <pageMargins left="0.75" right="0.75" top="1" bottom="1" header="0" footer="0"/>
  <pageSetup orientation="portrait" r:id="rId2"/>
  <headerFooter alignWithMargins="0"/>
  <ignoredErrors>
    <ignoredError sqref="D29:F29 E30:F30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5" name="Spinner 48">
              <controlPr defaultSize="0" autoPict="0">
                <anchor moveWithCells="1" sizeWithCells="1">
                  <from>
                    <xdr:col>1</xdr:col>
                    <xdr:colOff>409575</xdr:colOff>
                    <xdr:row>23</xdr:row>
                    <xdr:rowOff>9525</xdr:rowOff>
                  </from>
                  <to>
                    <xdr:col>1</xdr:col>
                    <xdr:colOff>1009650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Spinner 50">
              <controlPr defaultSize="0" autoPict="0">
                <anchor moveWithCells="1" sizeWithCells="1">
                  <from>
                    <xdr:col>1</xdr:col>
                    <xdr:colOff>409575</xdr:colOff>
                    <xdr:row>28</xdr:row>
                    <xdr:rowOff>9525</xdr:rowOff>
                  </from>
                  <to>
                    <xdr:col>1</xdr:col>
                    <xdr:colOff>1009650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Spinner 53">
              <controlPr defaultSize="0" autoPict="0">
                <anchor moveWithCells="1" sizeWithCells="1">
                  <from>
                    <xdr:col>1</xdr:col>
                    <xdr:colOff>409575</xdr:colOff>
                    <xdr:row>29</xdr:row>
                    <xdr:rowOff>47625</xdr:rowOff>
                  </from>
                  <to>
                    <xdr:col>1</xdr:col>
                    <xdr:colOff>1009650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Spinner 54">
              <controlPr defaultSize="0" autoPict="0">
                <anchor moveWithCells="1" sizeWithCells="1">
                  <from>
                    <xdr:col>1</xdr:col>
                    <xdr:colOff>409575</xdr:colOff>
                    <xdr:row>30</xdr:row>
                    <xdr:rowOff>57150</xdr:rowOff>
                  </from>
                  <to>
                    <xdr:col>1</xdr:col>
                    <xdr:colOff>1009650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Spinner 55">
              <controlPr defaultSize="0" autoPict="0">
                <anchor moveWithCells="1" sizeWithCells="1">
                  <from>
                    <xdr:col>1</xdr:col>
                    <xdr:colOff>409575</xdr:colOff>
                    <xdr:row>31</xdr:row>
                    <xdr:rowOff>28575</xdr:rowOff>
                  </from>
                  <to>
                    <xdr:col>1</xdr:col>
                    <xdr:colOff>1009650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Spinner 56">
              <controlPr defaultSize="0" autoPict="0">
                <anchor moveWithCells="1" sizeWithCells="1">
                  <from>
                    <xdr:col>1</xdr:col>
                    <xdr:colOff>409575</xdr:colOff>
                    <xdr:row>24</xdr:row>
                    <xdr:rowOff>57150</xdr:rowOff>
                  </from>
                  <to>
                    <xdr:col>2</xdr:col>
                    <xdr:colOff>0</xdr:colOff>
                    <xdr:row>25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S50"/>
  <sheetViews>
    <sheetView showGridLines="0" showRowColHeaders="0" showOutlineSymbols="0" workbookViewId="0">
      <selection activeCell="B1" sqref="B1:R30"/>
    </sheetView>
  </sheetViews>
  <sheetFormatPr baseColWidth="10" defaultColWidth="0" defaultRowHeight="12.75" zeroHeight="1" x14ac:dyDescent="0.2"/>
  <cols>
    <col min="1" max="1" width="8.5703125" style="82" customWidth="1"/>
    <col min="2" max="2" width="34.7109375" style="82" bestFit="1" customWidth="1"/>
    <col min="3" max="3" width="18.5703125" style="82" bestFit="1" customWidth="1"/>
    <col min="4" max="6" width="20.28515625" style="82" bestFit="1" customWidth="1"/>
    <col min="7" max="7" width="17.42578125" style="82" hidden="1" customWidth="1"/>
    <col min="8" max="8" width="18.5703125" style="82" hidden="1" customWidth="1"/>
    <col min="9" max="18" width="7.140625" style="82" hidden="1" customWidth="1"/>
    <col min="19" max="19" width="7" style="82" customWidth="1"/>
    <col min="20" max="16384" width="30.85546875" style="82" hidden="1"/>
  </cols>
  <sheetData>
    <row r="1" spans="2:18" ht="18" x14ac:dyDescent="0.25">
      <c r="B1" s="295" t="str">
        <f>flujo!B1</f>
        <v>PROYECTO E-VISTETIC S.A.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2:18" ht="15.75" x14ac:dyDescent="0.25">
      <c r="B2" s="294" t="s">
        <v>288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2:18" ht="13.5" thickBot="1" x14ac:dyDescent="0.25">
      <c r="B3" s="293" t="str">
        <f>IF(Inicio!$F$13="Años","En Años","En Meses")</f>
        <v>En Años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</row>
    <row r="4" spans="2:18" ht="16.5" thickTop="1" thickBot="1" x14ac:dyDescent="0.3">
      <c r="B4" s="177" t="s">
        <v>38</v>
      </c>
      <c r="C4" s="177">
        <v>0</v>
      </c>
      <c r="D4" s="177">
        <v>1</v>
      </c>
      <c r="E4" s="177">
        <v>2</v>
      </c>
      <c r="F4" s="177">
        <v>3</v>
      </c>
      <c r="G4" s="177">
        <v>4</v>
      </c>
      <c r="H4" s="177">
        <v>5</v>
      </c>
      <c r="I4" s="177">
        <v>6</v>
      </c>
      <c r="J4" s="177">
        <v>7</v>
      </c>
      <c r="K4" s="177">
        <v>8</v>
      </c>
      <c r="L4" s="177">
        <v>9</v>
      </c>
      <c r="M4" s="177">
        <v>10</v>
      </c>
      <c r="N4" s="177">
        <v>11</v>
      </c>
      <c r="O4" s="177">
        <v>12</v>
      </c>
      <c r="P4" s="177">
        <v>13</v>
      </c>
      <c r="Q4" s="177">
        <v>14</v>
      </c>
      <c r="R4" s="177">
        <v>15</v>
      </c>
    </row>
    <row r="5" spans="2:18" ht="16.5" thickTop="1" thickBot="1" x14ac:dyDescent="0.3">
      <c r="B5" s="323" t="s">
        <v>36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5"/>
    </row>
    <row r="6" spans="2:18" ht="15.75" thickTop="1" thickBot="1" x14ac:dyDescent="0.25">
      <c r="B6" s="180" t="s">
        <v>19</v>
      </c>
      <c r="C6" s="320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2"/>
    </row>
    <row r="7" spans="2:18" ht="15.75" thickTop="1" thickBot="1" x14ac:dyDescent="0.25">
      <c r="B7" s="180" t="s">
        <v>18</v>
      </c>
      <c r="C7" s="181">
        <f>+flujo!C24</f>
        <v>316153972.60273957</v>
      </c>
      <c r="D7" s="181">
        <f>+flujo!D24</f>
        <v>180453561.09587812</v>
      </c>
      <c r="E7" s="181">
        <f>+flujo!E24</f>
        <v>1303376386.2533085</v>
      </c>
      <c r="F7" s="181">
        <f>+flujo!F24</f>
        <v>3743829052.9836559</v>
      </c>
      <c r="G7" s="181" t="e">
        <f>+flujo!G24</f>
        <v>#VALUE!</v>
      </c>
      <c r="H7" s="181" t="e">
        <f>+flujo!H24</f>
        <v>#VALUE!</v>
      </c>
      <c r="I7" s="181">
        <f>+flujo!I24</f>
        <v>0</v>
      </c>
      <c r="J7" s="181">
        <f>+flujo!J24</f>
        <v>0</v>
      </c>
      <c r="K7" s="181">
        <f>+flujo!K24</f>
        <v>0</v>
      </c>
      <c r="L7" s="181">
        <f>+flujo!L24</f>
        <v>0</v>
      </c>
      <c r="M7" s="181">
        <f>+flujo!M24</f>
        <v>0</v>
      </c>
      <c r="N7" s="181">
        <f>+flujo!N24</f>
        <v>0</v>
      </c>
      <c r="O7" s="181">
        <f>+flujo!O24</f>
        <v>0</v>
      </c>
      <c r="P7" s="181">
        <f>+flujo!P24</f>
        <v>0</v>
      </c>
      <c r="Q7" s="181">
        <f>+flujo!Q24</f>
        <v>0</v>
      </c>
      <c r="R7" s="181">
        <f>+flujo!R24</f>
        <v>0</v>
      </c>
    </row>
    <row r="8" spans="2:18" ht="15.75" hidden="1" thickTop="1" thickBot="1" x14ac:dyDescent="0.25">
      <c r="B8" s="180" t="s">
        <v>20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1">
        <v>0</v>
      </c>
      <c r="P8" s="181">
        <v>0</v>
      </c>
      <c r="Q8" s="181">
        <v>0</v>
      </c>
      <c r="R8" s="181">
        <v>0</v>
      </c>
    </row>
    <row r="9" spans="2:18" ht="15.75" thickTop="1" thickBot="1" x14ac:dyDescent="0.25">
      <c r="B9" s="180" t="s">
        <v>306</v>
      </c>
      <c r="C9" s="181"/>
      <c r="D9" s="181">
        <f>+'presupuesto compras y ventas'!C46</f>
        <v>535740000</v>
      </c>
      <c r="E9" s="181">
        <f>+'presupuesto compras y ventas'!D46</f>
        <v>985261725</v>
      </c>
      <c r="F9" s="181">
        <f>+'presupuesto compras y ventas'!E46</f>
        <v>0</v>
      </c>
      <c r="G9" s="181">
        <f>+'presupuesto compras y ventas'!F46</f>
        <v>0</v>
      </c>
      <c r="H9" s="181">
        <f>+'presupuesto compras y ventas'!G46</f>
        <v>0</v>
      </c>
      <c r="I9" s="181">
        <f>+'presupuesto compras y ventas'!H46</f>
        <v>0</v>
      </c>
      <c r="J9" s="181">
        <f>+'presupuesto compras y ventas'!I46</f>
        <v>0</v>
      </c>
      <c r="K9" s="181">
        <f>+'presupuesto compras y ventas'!J46</f>
        <v>0</v>
      </c>
      <c r="L9" s="181">
        <f>+'presupuesto compras y ventas'!K46</f>
        <v>0</v>
      </c>
      <c r="M9" s="181">
        <f>+'presupuesto compras y ventas'!L46</f>
        <v>0</v>
      </c>
      <c r="N9" s="181">
        <f>+'presupuesto compras y ventas'!M46</f>
        <v>0</v>
      </c>
      <c r="O9" s="181">
        <f>+'presupuesto compras y ventas'!N46</f>
        <v>0</v>
      </c>
      <c r="P9" s="181">
        <f>+'presupuesto compras y ventas'!O46</f>
        <v>0</v>
      </c>
      <c r="Q9" s="181">
        <f>+'presupuesto compras y ventas'!P46</f>
        <v>0</v>
      </c>
      <c r="R9" s="181">
        <f>+'presupuesto compras y ventas'!Q46</f>
        <v>0</v>
      </c>
    </row>
    <row r="10" spans="2:18" ht="16.5" thickTop="1" thickBot="1" x14ac:dyDescent="0.3">
      <c r="B10" s="204" t="s">
        <v>287</v>
      </c>
      <c r="C10" s="205">
        <f t="shared" ref="C10:R10" si="0">SUM(C7:C9)</f>
        <v>316153972.60273957</v>
      </c>
      <c r="D10" s="205">
        <f t="shared" si="0"/>
        <v>716193561.09587812</v>
      </c>
      <c r="E10" s="205">
        <f t="shared" si="0"/>
        <v>2288638111.2533083</v>
      </c>
      <c r="F10" s="205">
        <f t="shared" si="0"/>
        <v>3743829052.9836559</v>
      </c>
      <c r="G10" s="205" t="e">
        <f t="shared" si="0"/>
        <v>#VALUE!</v>
      </c>
      <c r="H10" s="205" t="e">
        <f t="shared" si="0"/>
        <v>#VALUE!</v>
      </c>
      <c r="I10" s="205">
        <f t="shared" si="0"/>
        <v>0</v>
      </c>
      <c r="J10" s="205">
        <f t="shared" si="0"/>
        <v>0</v>
      </c>
      <c r="K10" s="205">
        <f t="shared" si="0"/>
        <v>0</v>
      </c>
      <c r="L10" s="205">
        <f t="shared" si="0"/>
        <v>0</v>
      </c>
      <c r="M10" s="205">
        <f t="shared" si="0"/>
        <v>0</v>
      </c>
      <c r="N10" s="205">
        <f t="shared" si="0"/>
        <v>0</v>
      </c>
      <c r="O10" s="205">
        <f t="shared" si="0"/>
        <v>0</v>
      </c>
      <c r="P10" s="205">
        <f t="shared" si="0"/>
        <v>0</v>
      </c>
      <c r="Q10" s="205">
        <f t="shared" si="0"/>
        <v>0</v>
      </c>
      <c r="R10" s="205">
        <f t="shared" si="0"/>
        <v>0</v>
      </c>
    </row>
    <row r="11" spans="2:18" ht="15.75" thickTop="1" thickBot="1" x14ac:dyDescent="0.25">
      <c r="B11" s="180" t="s">
        <v>289</v>
      </c>
      <c r="C11" s="181">
        <f>+'gastos depreciación'!D22</f>
        <v>400000000</v>
      </c>
      <c r="D11" s="181">
        <f>IF(D$4&lt;=Inicio!$D$13,+C11-'gastos depreciación'!E22,0)</f>
        <v>345000000</v>
      </c>
      <c r="E11" s="181">
        <f>IF(E$4&lt;=Inicio!$D$13,+D11-'gastos depreciación'!F22,0)</f>
        <v>290000000</v>
      </c>
      <c r="F11" s="181">
        <f>IF(F$4&lt;=Inicio!$D$13,+E11-'gastos depreciación'!G22,0)</f>
        <v>235000000</v>
      </c>
      <c r="G11" s="181">
        <f>IF(G$4&lt;=Inicio!$D$13,+F11-'gastos depreciación'!H22,0)</f>
        <v>0</v>
      </c>
      <c r="H11" s="181">
        <f>IF(H$4&lt;=Inicio!$D$13,+G11-'gastos depreciación'!I22,0)</f>
        <v>0</v>
      </c>
      <c r="I11" s="181">
        <f>IF(I$4&lt;=Inicio!$D$13,+H11-'gastos depreciación'!J22,0)</f>
        <v>0</v>
      </c>
      <c r="J11" s="181">
        <f>IF(J$4&lt;=Inicio!$D$13,+I11-'gastos depreciación'!K22,0)</f>
        <v>0</v>
      </c>
      <c r="K11" s="181">
        <f>IF(K$4&lt;=Inicio!$D$13,+J11-'gastos depreciación'!L22,0)</f>
        <v>0</v>
      </c>
      <c r="L11" s="181">
        <f>IF(L$4&lt;=Inicio!$D$13,+K11-'gastos depreciación'!M22,0)</f>
        <v>0</v>
      </c>
      <c r="M11" s="181">
        <f>IF(M$4&lt;=Inicio!$D$13,+L11-'gastos depreciación'!N22,0)</f>
        <v>0</v>
      </c>
      <c r="N11" s="181">
        <f>IF(N$4&lt;=Inicio!$D$13,+M11-'gastos depreciación'!O22,0)</f>
        <v>0</v>
      </c>
      <c r="O11" s="181">
        <f>IF(O$4&lt;=Inicio!$D$13,+N11-'gastos depreciación'!P22,0)</f>
        <v>0</v>
      </c>
      <c r="P11" s="181">
        <f>IF(P$4&lt;=Inicio!$D$13,+O11-'gastos depreciación'!Q22,0)</f>
        <v>0</v>
      </c>
      <c r="Q11" s="181">
        <f>IF(Q$4&lt;=Inicio!$D$13,+P11-'gastos depreciación'!R22,0)</f>
        <v>0</v>
      </c>
      <c r="R11" s="181">
        <f>IF(R$4&lt;=Inicio!$D$13,+Q11-'gastos depreciación'!S22,0)</f>
        <v>0</v>
      </c>
    </row>
    <row r="12" spans="2:18" ht="15.75" hidden="1" thickTop="1" thickBot="1" x14ac:dyDescent="0.25">
      <c r="B12" s="180" t="s">
        <v>39</v>
      </c>
      <c r="C12" s="181">
        <f t="shared" ref="C12:R12" si="1">SUM(C11:C11)</f>
        <v>400000000</v>
      </c>
      <c r="D12" s="181">
        <f t="shared" si="1"/>
        <v>345000000</v>
      </c>
      <c r="E12" s="181">
        <f t="shared" si="1"/>
        <v>290000000</v>
      </c>
      <c r="F12" s="181">
        <f t="shared" si="1"/>
        <v>235000000</v>
      </c>
      <c r="G12" s="181">
        <f t="shared" si="1"/>
        <v>0</v>
      </c>
      <c r="H12" s="181">
        <f t="shared" si="1"/>
        <v>0</v>
      </c>
      <c r="I12" s="181">
        <f t="shared" si="1"/>
        <v>0</v>
      </c>
      <c r="J12" s="181">
        <f t="shared" si="1"/>
        <v>0</v>
      </c>
      <c r="K12" s="181">
        <f t="shared" si="1"/>
        <v>0</v>
      </c>
      <c r="L12" s="181">
        <f t="shared" si="1"/>
        <v>0</v>
      </c>
      <c r="M12" s="181">
        <f t="shared" si="1"/>
        <v>0</v>
      </c>
      <c r="N12" s="181">
        <f t="shared" si="1"/>
        <v>0</v>
      </c>
      <c r="O12" s="181">
        <f t="shared" si="1"/>
        <v>0</v>
      </c>
      <c r="P12" s="181">
        <f t="shared" si="1"/>
        <v>0</v>
      </c>
      <c r="Q12" s="181">
        <f t="shared" si="1"/>
        <v>0</v>
      </c>
      <c r="R12" s="181">
        <f t="shared" si="1"/>
        <v>0</v>
      </c>
    </row>
    <row r="13" spans="2:18" ht="15.75" hidden="1" thickTop="1" thickBot="1" x14ac:dyDescent="0.25">
      <c r="B13" s="180" t="s">
        <v>28</v>
      </c>
      <c r="C13" s="181" t="s">
        <v>0</v>
      </c>
      <c r="D13" s="181" t="s">
        <v>0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</row>
    <row r="14" spans="2:18" ht="15.75" thickTop="1" thickBot="1" x14ac:dyDescent="0.25">
      <c r="B14" s="180" t="s">
        <v>87</v>
      </c>
      <c r="C14" s="181">
        <f>+'gastos depreciación'!D34</f>
        <v>68000000</v>
      </c>
      <c r="D14" s="181">
        <f>IF(D4&lt;=Inicio!$D$13,(+C14-'gastos depreciación'!E34),0)</f>
        <v>45333333.333333328</v>
      </c>
      <c r="E14" s="181">
        <f>IF(E4&lt;=Inicio!$D$13,(+D14-'gastos depreciación'!F34),0)</f>
        <v>22666666.66666666</v>
      </c>
      <c r="F14" s="181">
        <f>IF(F4&lt;=Inicio!$D$13,(+E14-'gastos depreciación'!G34),0)</f>
        <v>-7.4505805969238281E-9</v>
      </c>
      <c r="G14" s="181">
        <f>IF(G4&lt;=Inicio!$D$13,(+F14-'gastos depreciación'!H34),0)</f>
        <v>0</v>
      </c>
      <c r="H14" s="181">
        <f>IF(H4&lt;=Inicio!$D$13,(+G14-'gastos depreciación'!I34),0)</f>
        <v>0</v>
      </c>
      <c r="I14" s="181">
        <f>IF(I4&lt;=Inicio!$D$13,(+H14-'gastos depreciación'!J34),0)</f>
        <v>0</v>
      </c>
      <c r="J14" s="181">
        <f>IF(J4&lt;=Inicio!$D$13,(+I14-'gastos depreciación'!K34),0)</f>
        <v>0</v>
      </c>
      <c r="K14" s="181">
        <f>IF(K4&lt;=Inicio!$D$13,(+J14-'gastos depreciación'!L34),0)</f>
        <v>0</v>
      </c>
      <c r="L14" s="181">
        <f>IF(L4&lt;=Inicio!$D$13,(+K14-'gastos depreciación'!M34),0)</f>
        <v>0</v>
      </c>
      <c r="M14" s="181">
        <f>IF(M4&lt;=Inicio!$D$13,(+L14-'gastos depreciación'!N34),0)</f>
        <v>0</v>
      </c>
      <c r="N14" s="181">
        <f>IF(N4&lt;=Inicio!$D$13,(+M14-'gastos depreciación'!O34),0)</f>
        <v>0</v>
      </c>
      <c r="O14" s="181">
        <f>IF(O4&lt;=Inicio!$D$13,(+N14-'gastos depreciación'!P34),0)</f>
        <v>0</v>
      </c>
      <c r="P14" s="181">
        <f>IF(P4&lt;=Inicio!$D$13,(+O14-'gastos depreciación'!Q34),0)</f>
        <v>0</v>
      </c>
      <c r="Q14" s="181">
        <f>IF(Q4&lt;=Inicio!$D$13,(+P14-'gastos depreciación'!R34),0)</f>
        <v>0</v>
      </c>
      <c r="R14" s="181">
        <f>IF(R4&lt;=Inicio!$D$13,(+Q14-'gastos depreciación'!S34),0)</f>
        <v>0</v>
      </c>
    </row>
    <row r="15" spans="2:18" ht="15.75" thickTop="1" thickBot="1" x14ac:dyDescent="0.25">
      <c r="B15" s="180" t="s">
        <v>134</v>
      </c>
      <c r="C15" s="181">
        <f>SUM(C14)</f>
        <v>68000000</v>
      </c>
      <c r="D15" s="181">
        <f>SUM(D13:D14)</f>
        <v>45333333.333333328</v>
      </c>
      <c r="E15" s="181">
        <f t="shared" ref="E15:R15" si="2">SUM(E14)</f>
        <v>22666666.66666666</v>
      </c>
      <c r="F15" s="181">
        <f t="shared" si="2"/>
        <v>-7.4505805969238281E-9</v>
      </c>
      <c r="G15" s="181">
        <f t="shared" si="2"/>
        <v>0</v>
      </c>
      <c r="H15" s="181">
        <f t="shared" si="2"/>
        <v>0</v>
      </c>
      <c r="I15" s="181">
        <f t="shared" si="2"/>
        <v>0</v>
      </c>
      <c r="J15" s="181">
        <f t="shared" si="2"/>
        <v>0</v>
      </c>
      <c r="K15" s="181">
        <f t="shared" si="2"/>
        <v>0</v>
      </c>
      <c r="L15" s="181">
        <f t="shared" si="2"/>
        <v>0</v>
      </c>
      <c r="M15" s="181">
        <f t="shared" si="2"/>
        <v>0</v>
      </c>
      <c r="N15" s="181">
        <f t="shared" si="2"/>
        <v>0</v>
      </c>
      <c r="O15" s="181">
        <f t="shared" si="2"/>
        <v>0</v>
      </c>
      <c r="P15" s="181">
        <f t="shared" si="2"/>
        <v>0</v>
      </c>
      <c r="Q15" s="181">
        <f t="shared" si="2"/>
        <v>0</v>
      </c>
      <c r="R15" s="181">
        <f t="shared" si="2"/>
        <v>0</v>
      </c>
    </row>
    <row r="16" spans="2:18" ht="16.5" thickTop="1" thickBot="1" x14ac:dyDescent="0.3">
      <c r="B16" s="206" t="s">
        <v>40</v>
      </c>
      <c r="C16" s="207">
        <f t="shared" ref="C16:R16" si="3">+C10+C12+C15</f>
        <v>784153972.60273957</v>
      </c>
      <c r="D16" s="207">
        <f t="shared" si="3"/>
        <v>1106526894.4292114</v>
      </c>
      <c r="E16" s="207">
        <f t="shared" si="3"/>
        <v>2601304777.9199748</v>
      </c>
      <c r="F16" s="207">
        <f t="shared" si="3"/>
        <v>3978829052.9836559</v>
      </c>
      <c r="G16" s="207" t="e">
        <f t="shared" si="3"/>
        <v>#VALUE!</v>
      </c>
      <c r="H16" s="207" t="e">
        <f t="shared" si="3"/>
        <v>#VALUE!</v>
      </c>
      <c r="I16" s="207">
        <f t="shared" si="3"/>
        <v>0</v>
      </c>
      <c r="J16" s="207">
        <f t="shared" si="3"/>
        <v>0</v>
      </c>
      <c r="K16" s="207">
        <f t="shared" si="3"/>
        <v>0</v>
      </c>
      <c r="L16" s="207">
        <f t="shared" si="3"/>
        <v>0</v>
      </c>
      <c r="M16" s="207">
        <f t="shared" si="3"/>
        <v>0</v>
      </c>
      <c r="N16" s="207">
        <f t="shared" si="3"/>
        <v>0</v>
      </c>
      <c r="O16" s="207">
        <f t="shared" si="3"/>
        <v>0</v>
      </c>
      <c r="P16" s="207">
        <f t="shared" si="3"/>
        <v>0</v>
      </c>
      <c r="Q16" s="207">
        <f t="shared" si="3"/>
        <v>0</v>
      </c>
      <c r="R16" s="207">
        <f t="shared" si="3"/>
        <v>0</v>
      </c>
    </row>
    <row r="17" spans="2:18" ht="16.5" thickTop="1" thickBot="1" x14ac:dyDescent="0.3">
      <c r="B17" s="323" t="s">
        <v>21</v>
      </c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5"/>
    </row>
    <row r="18" spans="2:18" ht="15.75" thickTop="1" thickBot="1" x14ac:dyDescent="0.25">
      <c r="B18" s="180" t="s">
        <v>22</v>
      </c>
      <c r="C18" s="181">
        <f>+'análisis inversionista'!C23</f>
        <v>313661589.04109585</v>
      </c>
      <c r="D18" s="181">
        <f>+financiación!D9+financiación!D18+financiación!D27</f>
        <v>224214253.33697405</v>
      </c>
      <c r="E18" s="181">
        <f>+financiación!E9+financiación!E18+financiación!E27</f>
        <v>120427986.48690078</v>
      </c>
      <c r="F18" s="181">
        <f>+financiación!F9+financiación!F18+financiación!F27</f>
        <v>-1.3038516044616699E-7</v>
      </c>
      <c r="G18" s="181">
        <f>+financiación!G9+financiación!G18+financiación!G27</f>
        <v>0</v>
      </c>
      <c r="H18" s="181">
        <f>+financiación!H9+financiación!H18+financiación!H27</f>
        <v>0</v>
      </c>
      <c r="I18" s="181">
        <f>+financiación!I9+financiación!I18+financiación!I27</f>
        <v>0</v>
      </c>
      <c r="J18" s="181">
        <f>+financiación!J9+financiación!J18+financiación!J27</f>
        <v>0</v>
      </c>
      <c r="K18" s="181">
        <f>+financiación!K9+financiación!K18+financiación!K27</f>
        <v>0</v>
      </c>
      <c r="L18" s="181">
        <f>+financiación!L9+financiación!L18+financiación!L27</f>
        <v>0</v>
      </c>
      <c r="M18" s="181">
        <f>+financiación!M9+financiación!M18+financiación!M27</f>
        <v>0</v>
      </c>
      <c r="N18" s="181">
        <f>+financiación!N9+financiación!N18+financiación!N27</f>
        <v>0</v>
      </c>
      <c r="O18" s="181">
        <f>+financiación!O9+financiación!O18+financiación!O27</f>
        <v>0</v>
      </c>
      <c r="P18" s="181">
        <f>+financiación!P9+financiación!P18+financiación!P27</f>
        <v>0</v>
      </c>
      <c r="Q18" s="181">
        <f>+financiación!Q9+financiación!Q18+financiación!Q27</f>
        <v>0</v>
      </c>
      <c r="R18" s="181">
        <f>+financiación!R9+financiación!R18+financiación!R27</f>
        <v>0</v>
      </c>
    </row>
    <row r="19" spans="2:18" ht="15.75" thickTop="1" thickBot="1" x14ac:dyDescent="0.25">
      <c r="B19" s="180" t="s">
        <v>26</v>
      </c>
      <c r="C19" s="181"/>
      <c r="D19" s="181">
        <f>+'p y g proyectado'!C28</f>
        <v>144137090.13570777</v>
      </c>
      <c r="E19" s="181">
        <f>+'p y g proyectado'!D28</f>
        <v>609945434.16679072</v>
      </c>
      <c r="F19" s="181">
        <f>+'p y g proyectado'!E28</f>
        <v>737764193.50108027</v>
      </c>
      <c r="G19" s="181" t="e">
        <f>+'p y g proyectado'!F28</f>
        <v>#VALUE!</v>
      </c>
      <c r="H19" s="181" t="e">
        <f>+'p y g proyectado'!G28</f>
        <v>#VALUE!</v>
      </c>
      <c r="I19" s="181">
        <f>+'p y g proyectado'!H28</f>
        <v>0</v>
      </c>
      <c r="J19" s="181">
        <f>+'p y g proyectado'!I28</f>
        <v>0</v>
      </c>
      <c r="K19" s="181">
        <f>+'p y g proyectado'!J28</f>
        <v>0</v>
      </c>
      <c r="L19" s="181">
        <f>+'p y g proyectado'!K28</f>
        <v>0</v>
      </c>
      <c r="M19" s="181">
        <f>+'p y g proyectado'!L28</f>
        <v>0</v>
      </c>
      <c r="N19" s="181">
        <f>+'p y g proyectado'!M28</f>
        <v>0</v>
      </c>
      <c r="O19" s="181">
        <f>+'p y g proyectado'!N28</f>
        <v>0</v>
      </c>
      <c r="P19" s="181">
        <f>+'p y g proyectado'!O28</f>
        <v>0</v>
      </c>
      <c r="Q19" s="181">
        <f>+'p y g proyectado'!P28</f>
        <v>0</v>
      </c>
      <c r="R19" s="181">
        <f>+'p y g proyectado'!Q28</f>
        <v>0</v>
      </c>
    </row>
    <row r="20" spans="2:18" ht="15.75" hidden="1" thickTop="1" thickBot="1" x14ac:dyDescent="0.25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</row>
    <row r="21" spans="2:18" ht="16.5" thickTop="1" thickBot="1" x14ac:dyDescent="0.3">
      <c r="B21" s="206" t="s">
        <v>41</v>
      </c>
      <c r="C21" s="207">
        <f t="shared" ref="C21:R21" si="4">SUM(C18:C20)</f>
        <v>313661589.04109585</v>
      </c>
      <c r="D21" s="207">
        <f t="shared" si="4"/>
        <v>368351343.47268182</v>
      </c>
      <c r="E21" s="207">
        <f t="shared" si="4"/>
        <v>730373420.65369153</v>
      </c>
      <c r="F21" s="207">
        <f t="shared" si="4"/>
        <v>737764193.50108016</v>
      </c>
      <c r="G21" s="207" t="e">
        <f t="shared" si="4"/>
        <v>#VALUE!</v>
      </c>
      <c r="H21" s="207" t="e">
        <f t="shared" si="4"/>
        <v>#VALUE!</v>
      </c>
      <c r="I21" s="207">
        <f t="shared" si="4"/>
        <v>0</v>
      </c>
      <c r="J21" s="207">
        <f t="shared" si="4"/>
        <v>0</v>
      </c>
      <c r="K21" s="207">
        <f t="shared" si="4"/>
        <v>0</v>
      </c>
      <c r="L21" s="207">
        <f t="shared" si="4"/>
        <v>0</v>
      </c>
      <c r="M21" s="207">
        <f t="shared" si="4"/>
        <v>0</v>
      </c>
      <c r="N21" s="207">
        <f t="shared" si="4"/>
        <v>0</v>
      </c>
      <c r="O21" s="207">
        <f t="shared" si="4"/>
        <v>0</v>
      </c>
      <c r="P21" s="207">
        <f t="shared" si="4"/>
        <v>0</v>
      </c>
      <c r="Q21" s="207">
        <f t="shared" si="4"/>
        <v>0</v>
      </c>
      <c r="R21" s="207">
        <f t="shared" si="4"/>
        <v>0</v>
      </c>
    </row>
    <row r="22" spans="2:18" ht="16.5" thickTop="1" thickBot="1" x14ac:dyDescent="0.3">
      <c r="B22" s="323" t="s">
        <v>42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5"/>
    </row>
    <row r="23" spans="2:18" ht="15.75" thickTop="1" thickBot="1" x14ac:dyDescent="0.25">
      <c r="B23" s="180" t="s">
        <v>23</v>
      </c>
      <c r="C23" s="181">
        <f>+'inversión inicial'!D27</f>
        <v>470492383.56164378</v>
      </c>
      <c r="D23" s="181">
        <f>-'análisis inversionista'!C30</f>
        <v>470492383.56164384</v>
      </c>
      <c r="E23" s="181">
        <f>IF(E$4&lt;=Inicio!$D$13,+D23-'gastos depreciación'!F42,0)</f>
        <v>470492383.56164384</v>
      </c>
      <c r="F23" s="181">
        <f>IF(F$4&lt;=Inicio!$D$13,+E23-'gastos depreciación'!G42,0)</f>
        <v>470492383.56164384</v>
      </c>
      <c r="G23" s="181">
        <f>IF(G$4&lt;=Inicio!$D$13,+F23-'gastos depreciación'!H42,0)</f>
        <v>0</v>
      </c>
      <c r="H23" s="181">
        <f>IF(H$4&lt;=Inicio!$D$13,+G23-'gastos depreciación'!I42,0)</f>
        <v>0</v>
      </c>
      <c r="I23" s="181">
        <f>IF(I$4&lt;=Inicio!$D$13,+H23-'gastos depreciación'!J42,0)</f>
        <v>0</v>
      </c>
      <c r="J23" s="181">
        <f>IF(J$4&lt;=Inicio!$D$13,+I23-'gastos depreciación'!K42,0)</f>
        <v>0</v>
      </c>
      <c r="K23" s="181">
        <f>IF(K$4&lt;=Inicio!$D$13,+J23-'gastos depreciación'!L42,0)</f>
        <v>0</v>
      </c>
      <c r="L23" s="181">
        <f>IF(L$4&lt;=Inicio!$D$13,+K23-'gastos depreciación'!M42,0)</f>
        <v>0</v>
      </c>
      <c r="M23" s="181">
        <f>IF(M$4&lt;=Inicio!$D$13,+L23-'gastos depreciación'!N42,0)</f>
        <v>0</v>
      </c>
      <c r="N23" s="181">
        <f>IF(N$4&lt;=Inicio!$D$13,+M23-'gastos depreciación'!O42,0)</f>
        <v>0</v>
      </c>
      <c r="O23" s="181">
        <f>IF(O$4&lt;=Inicio!$D$13,+N23-'gastos depreciación'!P42,0)</f>
        <v>0</v>
      </c>
      <c r="P23" s="181">
        <f>IF(P$4&lt;=Inicio!$D$13,+O23-'gastos depreciación'!Q42,0)</f>
        <v>0</v>
      </c>
      <c r="Q23" s="181">
        <f>IF(Q$4&lt;=Inicio!$D$13,+P23-'gastos depreciación'!R42,0)</f>
        <v>0</v>
      </c>
      <c r="R23" s="181">
        <f>IF(R$4&lt;=Inicio!$D$13,+Q23-'gastos depreciación'!S42,0)</f>
        <v>0</v>
      </c>
    </row>
    <row r="24" spans="2:18" ht="15.75" thickTop="1" thickBot="1" x14ac:dyDescent="0.25">
      <c r="B24" s="180" t="s">
        <v>24</v>
      </c>
      <c r="C24" s="180"/>
      <c r="D24" s="181">
        <f>+'p y g proyectado'!C30</f>
        <v>26768316.739488587</v>
      </c>
      <c r="E24" s="181">
        <f>IF(E$4&lt;=Inicio!$D$13,+'p y g proyectado'!D30+D24,0)</f>
        <v>140043897.37046403</v>
      </c>
      <c r="F24" s="181">
        <f>IF(F$4&lt;=Inicio!$D$13,+'p y g proyectado'!E30+E24,0)</f>
        <v>277057247.59209323</v>
      </c>
      <c r="G24" s="181">
        <f>IF(G$4&lt;=Inicio!$D$13,+'p y g proyectado'!F30+F24,0)</f>
        <v>0</v>
      </c>
      <c r="H24" s="181">
        <f>IF(H$4&lt;=Inicio!$D$13,+'p y g proyectado'!G30+G24,0)</f>
        <v>0</v>
      </c>
      <c r="I24" s="181">
        <f>IF(I$4&lt;=Inicio!$D$13,+'p y g proyectado'!H30+H24,0)</f>
        <v>0</v>
      </c>
      <c r="J24" s="181">
        <f>IF(J$4&lt;=Inicio!$D$13,+'p y g proyectado'!I30+I24,0)</f>
        <v>0</v>
      </c>
      <c r="K24" s="181">
        <f>IF(K$4&lt;=Inicio!$D$13,+'p y g proyectado'!J30+J24,0)</f>
        <v>0</v>
      </c>
      <c r="L24" s="181">
        <f>IF(L$4&lt;=Inicio!$D$13,+'p y g proyectado'!K30+K24,0)</f>
        <v>0</v>
      </c>
      <c r="M24" s="181">
        <f>IF(M$4&lt;=Inicio!$D$13,+'p y g proyectado'!L30+L24,0)</f>
        <v>0</v>
      </c>
      <c r="N24" s="181">
        <f>IF(N$4&lt;=Inicio!$D$13,+'p y g proyectado'!M30+M24,0)</f>
        <v>0</v>
      </c>
      <c r="O24" s="181">
        <f>IF(O$4&lt;=Inicio!$D$13,+'p y g proyectado'!N30+N24,0)</f>
        <v>0</v>
      </c>
      <c r="P24" s="181">
        <f>IF(P$4&lt;=Inicio!$D$13,+'p y g proyectado'!O30+O24,0)</f>
        <v>0</v>
      </c>
      <c r="Q24" s="181">
        <f>IF(Q$4&lt;=Inicio!$D$13,+'p y g proyectado'!P30+P24,0)</f>
        <v>0</v>
      </c>
      <c r="R24" s="181">
        <f>IF(R$4&lt;=Inicio!$D$13,+'p y g proyectado'!Q30+Q24,0)</f>
        <v>0</v>
      </c>
    </row>
    <row r="25" spans="2:18" ht="15.75" thickTop="1" thickBot="1" x14ac:dyDescent="0.25">
      <c r="B25" s="180" t="s">
        <v>25</v>
      </c>
      <c r="C25" s="180"/>
      <c r="D25" s="181">
        <f>+'p y g proyectado'!C31</f>
        <v>0</v>
      </c>
      <c r="E25" s="181">
        <f>IF(E$4&lt;=Inicio!$D$13,+'p y g proyectado'!D31+D25,0)</f>
        <v>0</v>
      </c>
      <c r="F25" s="181">
        <f>IF(F$4&lt;=Inicio!$D$13,+'p y g proyectado'!E31+E25,0)</f>
        <v>0</v>
      </c>
      <c r="G25" s="181">
        <f>IF(G$4&lt;=Inicio!$D$13,+'p y g proyectado'!F31+F25,0)</f>
        <v>0</v>
      </c>
      <c r="H25" s="181">
        <f>IF(H$4&lt;=Inicio!$D$13,+'p y g proyectado'!G31+G25,0)</f>
        <v>0</v>
      </c>
      <c r="I25" s="181">
        <f>IF(I$4&lt;=Inicio!$D$13,+'p y g proyectado'!H31+H25,0)</f>
        <v>0</v>
      </c>
      <c r="J25" s="181">
        <f>IF(J$4&lt;=Inicio!$D$13,+'p y g proyectado'!I31+I25,0)</f>
        <v>0</v>
      </c>
      <c r="K25" s="181">
        <f>IF(K$4&lt;=Inicio!$D$13,+'p y g proyectado'!J31+J25,0)</f>
        <v>0</v>
      </c>
      <c r="L25" s="181">
        <f>IF(L$4&lt;=Inicio!$D$13,+'p y g proyectado'!K31+K25,0)</f>
        <v>0</v>
      </c>
      <c r="M25" s="181">
        <f>IF(M$4&lt;=Inicio!$D$13,+'p y g proyectado'!L31+L25,0)</f>
        <v>0</v>
      </c>
      <c r="N25" s="181">
        <f>IF(N$4&lt;=Inicio!$D$13,+'p y g proyectado'!M31+M25,0)</f>
        <v>0</v>
      </c>
      <c r="O25" s="181">
        <f>IF(O$4&lt;=Inicio!$D$13,+'p y g proyectado'!N31+N25,0)</f>
        <v>0</v>
      </c>
      <c r="P25" s="181">
        <f>IF(P$4&lt;=Inicio!$D$13,+'p y g proyectado'!O31+O25,0)</f>
        <v>0</v>
      </c>
      <c r="Q25" s="181">
        <f>IF(Q$4&lt;=Inicio!$D$13,+'p y g proyectado'!P31+P25,0)</f>
        <v>0</v>
      </c>
      <c r="R25" s="181">
        <f>IF(R$4&lt;=Inicio!$D$13,+'p y g proyectado'!Q31+Q25,0)</f>
        <v>0</v>
      </c>
    </row>
    <row r="26" spans="2:18" ht="15.75" thickTop="1" thickBot="1" x14ac:dyDescent="0.25">
      <c r="B26" s="180" t="s">
        <v>29</v>
      </c>
      <c r="C26" s="180"/>
      <c r="D26" s="181">
        <f>+'p y g proyectado'!C32</f>
        <v>240914850.6553973</v>
      </c>
      <c r="E26" s="181">
        <f>+'p y g proyectado'!D32</f>
        <v>1019480225.6787789</v>
      </c>
      <c r="F26" s="181">
        <f>+'p y g proyectado'!E32</f>
        <v>1233120151.994663</v>
      </c>
      <c r="G26" s="181" t="e">
        <f>+'p y g proyectado'!F32</f>
        <v>#VALUE!</v>
      </c>
      <c r="H26" s="181" t="e">
        <f>+'p y g proyectado'!G32</f>
        <v>#VALUE!</v>
      </c>
      <c r="I26" s="181">
        <f>+'p y g proyectado'!H32</f>
        <v>0</v>
      </c>
      <c r="J26" s="181">
        <f>+'p y g proyectado'!I32</f>
        <v>0</v>
      </c>
      <c r="K26" s="181">
        <f>+'p y g proyectado'!J32</f>
        <v>0</v>
      </c>
      <c r="L26" s="181">
        <f>+'p y g proyectado'!K32</f>
        <v>0</v>
      </c>
      <c r="M26" s="181">
        <f>+'p y g proyectado'!L32</f>
        <v>0</v>
      </c>
      <c r="N26" s="181">
        <f>+'p y g proyectado'!M32</f>
        <v>0</v>
      </c>
      <c r="O26" s="181">
        <f>+'p y g proyectado'!N32</f>
        <v>0</v>
      </c>
      <c r="P26" s="181">
        <f>+'p y g proyectado'!O32</f>
        <v>0</v>
      </c>
      <c r="Q26" s="181">
        <f>+'p y g proyectado'!P32</f>
        <v>0</v>
      </c>
      <c r="R26" s="181">
        <f>+'p y g proyectado'!Q32</f>
        <v>0</v>
      </c>
    </row>
    <row r="27" spans="2:18" ht="15.75" thickTop="1" thickBot="1" x14ac:dyDescent="0.25">
      <c r="B27" s="180" t="s">
        <v>135</v>
      </c>
      <c r="C27" s="180"/>
      <c r="D27" s="181">
        <v>0</v>
      </c>
      <c r="E27" s="181">
        <f>IF(E$4&lt;=Inicio!$D$13,+D26,0)</f>
        <v>240914850.6553973</v>
      </c>
      <c r="F27" s="181">
        <f>IF(F$4&lt;=Inicio!$D$13,+E27+E26,0)</f>
        <v>1260395076.3341761</v>
      </c>
      <c r="G27" s="181">
        <f>IF(G$4&lt;=Inicio!$D$13,+F27+F26,0)</f>
        <v>0</v>
      </c>
      <c r="H27" s="181">
        <f>IF(H$4&lt;=Inicio!$D$13,+G27+G26,0)</f>
        <v>0</v>
      </c>
      <c r="I27" s="181">
        <f>IF(I$4&lt;=Inicio!$D$13,+H27+H26,0)</f>
        <v>0</v>
      </c>
      <c r="J27" s="181">
        <f>IF(J$4&lt;=Inicio!$D$13,+I27+I26,0)</f>
        <v>0</v>
      </c>
      <c r="K27" s="181">
        <f>IF(K$4&lt;=Inicio!$D$13,+J27+J26,0)</f>
        <v>0</v>
      </c>
      <c r="L27" s="181">
        <f>IF(L$4&lt;=Inicio!$D$13,+K27+K26,0)</f>
        <v>0</v>
      </c>
      <c r="M27" s="181">
        <f>IF(M$4&lt;=Inicio!$D$13,+L27+L26,0)</f>
        <v>0</v>
      </c>
      <c r="N27" s="181">
        <f>IF(N$4&lt;=Inicio!$D$13,+M27+M26,0)</f>
        <v>0</v>
      </c>
      <c r="O27" s="181">
        <f>IF(O$4&lt;=Inicio!$D$13,+N27+N26,0)</f>
        <v>0</v>
      </c>
      <c r="P27" s="181">
        <f>IF(P$4&lt;=Inicio!$D$13,+O27+O26,0)</f>
        <v>0</v>
      </c>
      <c r="Q27" s="181">
        <f>IF(Q$4&lt;=Inicio!$D$13,+P27+P26,0)</f>
        <v>0</v>
      </c>
      <c r="R27" s="181">
        <f>IF(R$4&lt;=Inicio!$D$13,+Q27+Q26,0)</f>
        <v>0</v>
      </c>
    </row>
    <row r="28" spans="2:18" ht="16.5" thickTop="1" thickBot="1" x14ac:dyDescent="0.3">
      <c r="B28" s="206" t="s">
        <v>43</v>
      </c>
      <c r="C28" s="207">
        <f>SUM(C23:C24)</f>
        <v>470492383.56164378</v>
      </c>
      <c r="D28" s="207">
        <f>SUM(D23:D26)</f>
        <v>738175550.95652974</v>
      </c>
      <c r="E28" s="207">
        <f t="shared" ref="E28:R28" si="5">SUM(E23:E27)</f>
        <v>1870931357.266284</v>
      </c>
      <c r="F28" s="207">
        <f t="shared" si="5"/>
        <v>3241064859.4825764</v>
      </c>
      <c r="G28" s="207" t="e">
        <f t="shared" si="5"/>
        <v>#VALUE!</v>
      </c>
      <c r="H28" s="207" t="e">
        <f t="shared" si="5"/>
        <v>#VALUE!</v>
      </c>
      <c r="I28" s="207">
        <f t="shared" si="5"/>
        <v>0</v>
      </c>
      <c r="J28" s="207">
        <f t="shared" si="5"/>
        <v>0</v>
      </c>
      <c r="K28" s="207">
        <f t="shared" si="5"/>
        <v>0</v>
      </c>
      <c r="L28" s="207">
        <f t="shared" si="5"/>
        <v>0</v>
      </c>
      <c r="M28" s="207">
        <f t="shared" si="5"/>
        <v>0</v>
      </c>
      <c r="N28" s="207">
        <f t="shared" si="5"/>
        <v>0</v>
      </c>
      <c r="O28" s="207">
        <f t="shared" si="5"/>
        <v>0</v>
      </c>
      <c r="P28" s="207">
        <f t="shared" si="5"/>
        <v>0</v>
      </c>
      <c r="Q28" s="207">
        <f t="shared" si="5"/>
        <v>0</v>
      </c>
      <c r="R28" s="207">
        <f t="shared" si="5"/>
        <v>0</v>
      </c>
    </row>
    <row r="29" spans="2:18" ht="16.5" thickTop="1" thickBot="1" x14ac:dyDescent="0.3">
      <c r="B29" s="207" t="s">
        <v>44</v>
      </c>
      <c r="C29" s="207">
        <f t="shared" ref="C29:R29" si="6">+C21+C28</f>
        <v>784153972.60273957</v>
      </c>
      <c r="D29" s="207">
        <f t="shared" si="6"/>
        <v>1106526894.4292116</v>
      </c>
      <c r="E29" s="207">
        <f t="shared" si="6"/>
        <v>2601304777.9199753</v>
      </c>
      <c r="F29" s="207">
        <f t="shared" si="6"/>
        <v>3978829052.9836564</v>
      </c>
      <c r="G29" s="207" t="e">
        <f t="shared" si="6"/>
        <v>#VALUE!</v>
      </c>
      <c r="H29" s="207" t="e">
        <f t="shared" si="6"/>
        <v>#VALUE!</v>
      </c>
      <c r="I29" s="207">
        <f t="shared" si="6"/>
        <v>0</v>
      </c>
      <c r="J29" s="207">
        <f t="shared" si="6"/>
        <v>0</v>
      </c>
      <c r="K29" s="207">
        <f t="shared" si="6"/>
        <v>0</v>
      </c>
      <c r="L29" s="207">
        <f t="shared" si="6"/>
        <v>0</v>
      </c>
      <c r="M29" s="207">
        <f t="shared" si="6"/>
        <v>0</v>
      </c>
      <c r="N29" s="207">
        <f t="shared" si="6"/>
        <v>0</v>
      </c>
      <c r="O29" s="207">
        <f t="shared" si="6"/>
        <v>0</v>
      </c>
      <c r="P29" s="207">
        <f t="shared" si="6"/>
        <v>0</v>
      </c>
      <c r="Q29" s="207">
        <f t="shared" si="6"/>
        <v>0</v>
      </c>
      <c r="R29" s="207">
        <f t="shared" si="6"/>
        <v>0</v>
      </c>
    </row>
    <row r="30" spans="2:18" ht="15.75" thickTop="1" thickBot="1" x14ac:dyDescent="0.25">
      <c r="B30" s="180" t="s">
        <v>100</v>
      </c>
      <c r="C30" s="181">
        <f t="shared" ref="C30:R30" si="7">+C16-C29</f>
        <v>0</v>
      </c>
      <c r="D30" s="181">
        <f t="shared" si="7"/>
        <v>0</v>
      </c>
      <c r="E30" s="181">
        <f t="shared" si="7"/>
        <v>0</v>
      </c>
      <c r="F30" s="181">
        <f t="shared" si="7"/>
        <v>0</v>
      </c>
      <c r="G30" s="181" t="e">
        <f t="shared" si="7"/>
        <v>#VALUE!</v>
      </c>
      <c r="H30" s="181" t="e">
        <f t="shared" si="7"/>
        <v>#VALUE!</v>
      </c>
      <c r="I30" s="181">
        <f t="shared" si="7"/>
        <v>0</v>
      </c>
      <c r="J30" s="181">
        <f t="shared" si="7"/>
        <v>0</v>
      </c>
      <c r="K30" s="181">
        <f t="shared" si="7"/>
        <v>0</v>
      </c>
      <c r="L30" s="181">
        <f t="shared" si="7"/>
        <v>0</v>
      </c>
      <c r="M30" s="181">
        <f t="shared" si="7"/>
        <v>0</v>
      </c>
      <c r="N30" s="181">
        <f t="shared" si="7"/>
        <v>0</v>
      </c>
      <c r="O30" s="181">
        <f t="shared" si="7"/>
        <v>0</v>
      </c>
      <c r="P30" s="181">
        <f t="shared" si="7"/>
        <v>0</v>
      </c>
      <c r="Q30" s="181">
        <f t="shared" si="7"/>
        <v>0</v>
      </c>
      <c r="R30" s="181">
        <f t="shared" si="7"/>
        <v>0</v>
      </c>
    </row>
    <row r="31" spans="2:18" ht="13.5" thickTop="1" x14ac:dyDescent="0.2">
      <c r="B31" s="88"/>
      <c r="C31" s="88"/>
      <c r="D31" s="88"/>
      <c r="E31" s="88" t="s">
        <v>0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2:18" hidden="1" x14ac:dyDescent="0.2">
      <c r="B32" s="88"/>
      <c r="C32" s="88"/>
      <c r="D32" s="88"/>
      <c r="E32" s="88"/>
      <c r="F32" s="88"/>
      <c r="G32" s="88"/>
      <c r="H32" s="88"/>
      <c r="I32" s="88"/>
      <c r="J32" s="89" t="s">
        <v>0</v>
      </c>
      <c r="K32" s="89" t="s">
        <v>0</v>
      </c>
      <c r="L32" s="88"/>
      <c r="M32" s="88"/>
      <c r="N32" s="88"/>
      <c r="O32" s="88"/>
      <c r="P32" s="88"/>
      <c r="Q32" s="88"/>
      <c r="R32" s="88"/>
    </row>
    <row r="33" spans="2:18" hidden="1" x14ac:dyDescent="0.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2:18" hidden="1" x14ac:dyDescent="0.2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2:18" hidden="1" x14ac:dyDescent="0.2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2:18" hidden="1" x14ac:dyDescent="0.2"/>
    <row r="37" spans="2:18" hidden="1" x14ac:dyDescent="0.2"/>
    <row r="38" spans="2:18" hidden="1" x14ac:dyDescent="0.2"/>
    <row r="39" spans="2:18" hidden="1" x14ac:dyDescent="0.2"/>
    <row r="40" spans="2:18" hidden="1" x14ac:dyDescent="0.2"/>
    <row r="41" spans="2:18" hidden="1" x14ac:dyDescent="0.2"/>
    <row r="42" spans="2:18" hidden="1" x14ac:dyDescent="0.2"/>
    <row r="43" spans="2:18" x14ac:dyDescent="0.2"/>
    <row r="44" spans="2:18" x14ac:dyDescent="0.2"/>
    <row r="45" spans="2:18" x14ac:dyDescent="0.2"/>
    <row r="46" spans="2:18" x14ac:dyDescent="0.2"/>
    <row r="47" spans="2:18" x14ac:dyDescent="0.2"/>
    <row r="48" spans="2:18" x14ac:dyDescent="0.2"/>
    <row r="49" x14ac:dyDescent="0.2"/>
    <row r="50" x14ac:dyDescent="0.2"/>
  </sheetData>
  <sheetProtection password="99B7" sheet="1" objects="1" scenarios="1"/>
  <customSheetViews>
    <customSheetView guid="{4BF10618-D357-11D5-9338-EFF21189730A}" showGridLines="0" outlineSymbols="0" showRuler="0">
      <selection activeCell="D44" sqref="D44"/>
      <pageMargins left="0.23622047244094491" right="0.51181102362204722" top="0.98425196850393704" bottom="0.98425196850393704" header="0" footer="0"/>
      <printOptions horizontalCentered="1"/>
      <pageSetup scale="55" orientation="landscape" horizontalDpi="180" verticalDpi="180" r:id="rId1"/>
      <headerFooter alignWithMargins="0"/>
    </customSheetView>
  </customSheetViews>
  <mergeCells count="7">
    <mergeCell ref="C6:R6"/>
    <mergeCell ref="B17:R17"/>
    <mergeCell ref="B22:R22"/>
    <mergeCell ref="B1:R1"/>
    <mergeCell ref="B2:R2"/>
    <mergeCell ref="B3:R3"/>
    <mergeCell ref="B5:R5"/>
  </mergeCells>
  <printOptions horizontalCentered="1"/>
  <pageMargins left="0.23622047244094491" right="0.51181102362204722" top="0.98425196850393704" bottom="0.98425196850393704" header="0" footer="0"/>
  <pageSetup scale="55" orientation="landscape" horizontalDpi="180" verticalDpi="18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W75"/>
  <sheetViews>
    <sheetView showGridLines="0" showRowColHeaders="0" showOutlineSymbols="0" topLeftCell="A13" workbookViewId="0">
      <selection activeCell="C39" sqref="C39"/>
    </sheetView>
  </sheetViews>
  <sheetFormatPr baseColWidth="10" defaultColWidth="0" defaultRowHeight="12.75" zeroHeight="1" x14ac:dyDescent="0.2"/>
  <cols>
    <col min="1" max="1" width="5.28515625" style="79" customWidth="1"/>
    <col min="2" max="2" width="36.28515625" style="79" bestFit="1" customWidth="1"/>
    <col min="3" max="4" width="18.85546875" style="79" bestFit="1" customWidth="1"/>
    <col min="5" max="6" width="19.28515625" style="79" bestFit="1" customWidth="1"/>
    <col min="7" max="7" width="18" style="79" hidden="1" customWidth="1"/>
    <col min="8" max="8" width="20" style="79" hidden="1" customWidth="1"/>
    <col min="9" max="18" width="8.140625" style="79" hidden="1" customWidth="1"/>
    <col min="19" max="19" width="1.5703125" style="79" customWidth="1"/>
    <col min="20" max="20" width="11.42578125" style="79" customWidth="1"/>
    <col min="21" max="21" width="11.42578125" style="79" hidden="1" customWidth="1"/>
    <col min="22" max="23" width="0" style="79" hidden="1" customWidth="1"/>
    <col min="24" max="16384" width="11.42578125" style="79" hidden="1"/>
  </cols>
  <sheetData>
    <row r="1" spans="2:21" ht="18" x14ac:dyDescent="0.25">
      <c r="B1" s="295" t="str">
        <f>balance!B1</f>
        <v>PROYECTO E-VISTETIC S.A.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2:21" ht="15.75" x14ac:dyDescent="0.25">
      <c r="B2" s="294" t="s">
        <v>290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2:21" ht="13.5" thickBot="1" x14ac:dyDescent="0.25">
      <c r="B3" s="293" t="str">
        <f>IF(Inicio!$F$13="Años","En Años","En Meses")</f>
        <v>En Años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</row>
    <row r="4" spans="2:21" ht="16.5" thickTop="1" thickBot="1" x14ac:dyDescent="0.3">
      <c r="B4" s="177" t="s">
        <v>6</v>
      </c>
      <c r="C4" s="177">
        <v>0</v>
      </c>
      <c r="D4" s="177">
        <v>1</v>
      </c>
      <c r="E4" s="177">
        <v>2</v>
      </c>
      <c r="F4" s="177">
        <v>3</v>
      </c>
      <c r="G4" s="177">
        <v>4</v>
      </c>
      <c r="H4" s="177">
        <v>5</v>
      </c>
      <c r="I4" s="177">
        <v>6</v>
      </c>
      <c r="J4" s="177">
        <v>7</v>
      </c>
      <c r="K4" s="177">
        <v>8</v>
      </c>
      <c r="L4" s="177">
        <v>9</v>
      </c>
      <c r="M4" s="177">
        <v>10</v>
      </c>
      <c r="N4" s="177">
        <v>11</v>
      </c>
      <c r="O4" s="177">
        <v>12</v>
      </c>
      <c r="P4" s="177">
        <v>13</v>
      </c>
      <c r="Q4" s="177">
        <v>14</v>
      </c>
      <c r="R4" s="177">
        <v>15</v>
      </c>
      <c r="S4" s="82"/>
      <c r="T4" s="82"/>
      <c r="U4" s="82"/>
    </row>
    <row r="5" spans="2:21" ht="16.5" thickTop="1" thickBot="1" x14ac:dyDescent="0.3">
      <c r="B5" s="178" t="s">
        <v>9</v>
      </c>
      <c r="C5" s="180"/>
      <c r="D5" s="205">
        <f>+'p y g proyectado'!C7-'presupuesto compras y ventas'!C46</f>
        <v>1250060000</v>
      </c>
      <c r="E5" s="205">
        <f>+'p y g proyectado'!D7-'presupuesto compras y ventas'!D46+'presupuesto compras y ventas'!C46</f>
        <v>2834684025</v>
      </c>
      <c r="F5" s="205">
        <f>+'p y g proyectado'!E7-'presupuesto compras y ventas'!E46+'presupuesto compras y ventas'!D46</f>
        <v>4693399200</v>
      </c>
      <c r="G5" s="205">
        <f>+'p y g proyectado'!F7-'presupuesto compras y ventas'!F46+'presupuesto compras y ventas'!E46</f>
        <v>0</v>
      </c>
      <c r="H5" s="205">
        <f>+'p y g proyectado'!G7-'presupuesto compras y ventas'!G46+'presupuesto compras y ventas'!F46</f>
        <v>0</v>
      </c>
      <c r="I5" s="205">
        <f>+'p y g proyectado'!H7-'presupuesto compras y ventas'!H46+'presupuesto compras y ventas'!G46</f>
        <v>0</v>
      </c>
      <c r="J5" s="205">
        <f>+'p y g proyectado'!I7-'presupuesto compras y ventas'!I46+'presupuesto compras y ventas'!H46</f>
        <v>0</v>
      </c>
      <c r="K5" s="205">
        <f>+'p y g proyectado'!J7-'presupuesto compras y ventas'!J46+'presupuesto compras y ventas'!I46</f>
        <v>0</v>
      </c>
      <c r="L5" s="205">
        <f>+'p y g proyectado'!K7-'presupuesto compras y ventas'!K46+'presupuesto compras y ventas'!J46</f>
        <v>0</v>
      </c>
      <c r="M5" s="205">
        <f>+'p y g proyectado'!L7-'presupuesto compras y ventas'!L46+'presupuesto compras y ventas'!K46</f>
        <v>0</v>
      </c>
      <c r="N5" s="205">
        <f>+'p y g proyectado'!M7-'presupuesto compras y ventas'!M46+'presupuesto compras y ventas'!L46</f>
        <v>0</v>
      </c>
      <c r="O5" s="205">
        <f>+'p y g proyectado'!N7-'presupuesto compras y ventas'!N46+'presupuesto compras y ventas'!M46</f>
        <v>0</v>
      </c>
      <c r="P5" s="205">
        <f>+'p y g proyectado'!O7-'presupuesto compras y ventas'!O46+'presupuesto compras y ventas'!N46</f>
        <v>0</v>
      </c>
      <c r="Q5" s="205">
        <f>+'p y g proyectado'!P7-'presupuesto compras y ventas'!P46+'presupuesto compras y ventas'!O46</f>
        <v>0</v>
      </c>
      <c r="R5" s="205">
        <f>+'p y g proyectado'!Q7+'presupuesto compras y ventas'!P46</f>
        <v>0</v>
      </c>
      <c r="S5" s="82"/>
      <c r="T5" s="82"/>
      <c r="U5" s="82"/>
    </row>
    <row r="6" spans="2:21" ht="16.5" thickTop="1" thickBot="1" x14ac:dyDescent="0.3">
      <c r="B6" s="180" t="s">
        <v>160</v>
      </c>
      <c r="C6" s="180"/>
      <c r="D6" s="181">
        <f>+'presupuesto compras y ventas'!C9</f>
        <v>719400800</v>
      </c>
      <c r="E6" s="181">
        <f>+'presupuesto compras y ventas'!D9</f>
        <v>885465999</v>
      </c>
      <c r="F6" s="181">
        <f>+'presupuesto compras y ventas'!E9</f>
        <v>944570534.22000003</v>
      </c>
      <c r="G6" s="181">
        <f>+'presupuesto compras y ventas'!F9</f>
        <v>0</v>
      </c>
      <c r="H6" s="181">
        <f>+'presupuesto compras y ventas'!G9</f>
        <v>0</v>
      </c>
      <c r="I6" s="179">
        <f>+'presupuesto compras y ventas'!H9</f>
        <v>0</v>
      </c>
      <c r="J6" s="179">
        <f>+'presupuesto compras y ventas'!I9</f>
        <v>0</v>
      </c>
      <c r="K6" s="179">
        <f>+'presupuesto compras y ventas'!J9</f>
        <v>0</v>
      </c>
      <c r="L6" s="179">
        <f>+'presupuesto compras y ventas'!K9</f>
        <v>0</v>
      </c>
      <c r="M6" s="179">
        <f>+'presupuesto compras y ventas'!L9</f>
        <v>0</v>
      </c>
      <c r="N6" s="179">
        <f>+'presupuesto compras y ventas'!M9</f>
        <v>0</v>
      </c>
      <c r="O6" s="179">
        <f>+'presupuesto compras y ventas'!N9</f>
        <v>0</v>
      </c>
      <c r="P6" s="179">
        <f>+'presupuesto compras y ventas'!O9</f>
        <v>0</v>
      </c>
      <c r="Q6" s="179">
        <f>+'presupuesto compras y ventas'!P9</f>
        <v>0</v>
      </c>
      <c r="R6" s="179">
        <f>+'presupuesto compras y ventas'!Q9</f>
        <v>0</v>
      </c>
      <c r="S6" s="82"/>
      <c r="T6" s="82"/>
      <c r="U6" s="82"/>
    </row>
    <row r="7" spans="2:21" ht="16.5" thickTop="1" thickBot="1" x14ac:dyDescent="0.3">
      <c r="B7" s="180" t="s">
        <v>136</v>
      </c>
      <c r="C7" s="180"/>
      <c r="D7" s="181">
        <f>+'p y g proyectado'!C14+'p y g proyectado'!C23</f>
        <v>432656640</v>
      </c>
      <c r="E7" s="181">
        <f>+'p y g proyectado'!D14+'p y g proyectado'!D23</f>
        <v>445636339.19999999</v>
      </c>
      <c r="F7" s="181">
        <f>+'p y g proyectado'!E14+'p y g proyectado'!E23</f>
        <v>459005429.37599999</v>
      </c>
      <c r="G7" s="181">
        <f>+'p y g proyectado'!F14+'p y g proyectado'!F23</f>
        <v>0</v>
      </c>
      <c r="H7" s="181">
        <f>+'p y g proyectado'!G14+'p y g proyectado'!G23</f>
        <v>0</v>
      </c>
      <c r="I7" s="179">
        <f>+'p y g proyectado'!H14+'p y g proyectado'!H23</f>
        <v>0</v>
      </c>
      <c r="J7" s="179">
        <f>+'p y g proyectado'!I14+'p y g proyectado'!I23</f>
        <v>0</v>
      </c>
      <c r="K7" s="179">
        <f>+'p y g proyectado'!J14+'p y g proyectado'!J23</f>
        <v>0</v>
      </c>
      <c r="L7" s="179">
        <f>+'p y g proyectado'!K14+'p y g proyectado'!K23</f>
        <v>0</v>
      </c>
      <c r="M7" s="179">
        <f>+'p y g proyectado'!L14+'p y g proyectado'!L23</f>
        <v>0</v>
      </c>
      <c r="N7" s="179">
        <f>+'p y g proyectado'!M14+'p y g proyectado'!M23</f>
        <v>0</v>
      </c>
      <c r="O7" s="179">
        <f>+'p y g proyectado'!N14+'p y g proyectado'!N23</f>
        <v>0</v>
      </c>
      <c r="P7" s="179">
        <f>+'p y g proyectado'!O14+'p y g proyectado'!O23</f>
        <v>0</v>
      </c>
      <c r="Q7" s="179">
        <f>+'p y g proyectado'!P14+'p y g proyectado'!P23</f>
        <v>0</v>
      </c>
      <c r="R7" s="179">
        <f>+'p y g proyectado'!Q14+'p y g proyectado'!Q23</f>
        <v>0</v>
      </c>
      <c r="S7" s="82"/>
      <c r="T7" s="82"/>
      <c r="U7" s="82"/>
    </row>
    <row r="8" spans="2:21" ht="16.5" thickTop="1" thickBot="1" x14ac:dyDescent="0.3">
      <c r="B8" s="180" t="s">
        <v>152</v>
      </c>
      <c r="C8" s="180"/>
      <c r="D8" s="181">
        <f>+'p y g proyectado'!C16</f>
        <v>55000000</v>
      </c>
      <c r="E8" s="181">
        <f>+'p y g proyectado'!D16</f>
        <v>55000000</v>
      </c>
      <c r="F8" s="181">
        <f>+'p y g proyectado'!E16</f>
        <v>55000000</v>
      </c>
      <c r="G8" s="181">
        <f>+'p y g proyectado'!F16</f>
        <v>0</v>
      </c>
      <c r="H8" s="181">
        <f>+'p y g proyectado'!G16</f>
        <v>0</v>
      </c>
      <c r="I8" s="179">
        <f>+'p y g proyectado'!H16</f>
        <v>0</v>
      </c>
      <c r="J8" s="179">
        <f>+'p y g proyectado'!I16</f>
        <v>0</v>
      </c>
      <c r="K8" s="179">
        <f>+'p y g proyectado'!J16</f>
        <v>0</v>
      </c>
      <c r="L8" s="179">
        <f>+'p y g proyectado'!K16</f>
        <v>0</v>
      </c>
      <c r="M8" s="179">
        <f>+'p y g proyectado'!L16</f>
        <v>0</v>
      </c>
      <c r="N8" s="179">
        <f>+'p y g proyectado'!M16</f>
        <v>0</v>
      </c>
      <c r="O8" s="179">
        <f>+'p y g proyectado'!N16</f>
        <v>0</v>
      </c>
      <c r="P8" s="179">
        <f>+'p y g proyectado'!O16</f>
        <v>0</v>
      </c>
      <c r="Q8" s="179">
        <f>+'p y g proyectado'!P16</f>
        <v>0</v>
      </c>
      <c r="R8" s="179">
        <f>+'p y g proyectado'!Q16</f>
        <v>0</v>
      </c>
      <c r="S8" s="82"/>
      <c r="T8" s="82"/>
      <c r="U8" s="82"/>
    </row>
    <row r="9" spans="2:21" ht="16.5" thickTop="1" thickBot="1" x14ac:dyDescent="0.3">
      <c r="B9" s="180" t="s">
        <v>153</v>
      </c>
      <c r="C9" s="180"/>
      <c r="D9" s="181">
        <f>+'p y g proyectado'!C17</f>
        <v>22666666.666666668</v>
      </c>
      <c r="E9" s="181">
        <f>+'p y g proyectado'!D17</f>
        <v>22666666.666666668</v>
      </c>
      <c r="F9" s="181">
        <f>+'p y g proyectado'!E17</f>
        <v>22666666.666666668</v>
      </c>
      <c r="G9" s="181">
        <f>+'p y g proyectado'!F17</f>
        <v>0</v>
      </c>
      <c r="H9" s="181">
        <f>+'p y g proyectado'!G17</f>
        <v>0</v>
      </c>
      <c r="I9" s="179">
        <f>+'p y g proyectado'!H17</f>
        <v>0</v>
      </c>
      <c r="J9" s="179">
        <f>+'p y g proyectado'!I17</f>
        <v>0</v>
      </c>
      <c r="K9" s="179">
        <f>+'p y g proyectado'!J17</f>
        <v>0</v>
      </c>
      <c r="L9" s="179">
        <f>+'p y g proyectado'!K17</f>
        <v>0</v>
      </c>
      <c r="M9" s="179">
        <f>+'p y g proyectado'!L17</f>
        <v>0</v>
      </c>
      <c r="N9" s="179">
        <f>+'p y g proyectado'!M17</f>
        <v>0</v>
      </c>
      <c r="O9" s="179">
        <f>+'p y g proyectado'!N17</f>
        <v>0</v>
      </c>
      <c r="P9" s="179">
        <f>+'p y g proyectado'!O17</f>
        <v>0</v>
      </c>
      <c r="Q9" s="179">
        <f>+'p y g proyectado'!P17</f>
        <v>0</v>
      </c>
      <c r="R9" s="179">
        <f>+'p y g proyectado'!Q17</f>
        <v>0</v>
      </c>
      <c r="S9" s="82"/>
      <c r="T9" s="82"/>
      <c r="U9" s="82"/>
    </row>
    <row r="10" spans="2:21" ht="16.5" thickTop="1" thickBot="1" x14ac:dyDescent="0.3">
      <c r="B10" s="180" t="s">
        <v>34</v>
      </c>
      <c r="C10" s="180"/>
      <c r="D10" s="181">
        <f>+'p y g proyectado'!C18</f>
        <v>50295635.802739725</v>
      </c>
      <c r="E10" s="181">
        <f>+'p y g proyectado'!D18</f>
        <v>35956704.656788245</v>
      </c>
      <c r="F10" s="181">
        <f>+'p y g proyectado'!E18</f>
        <v>19314985.019960608</v>
      </c>
      <c r="G10" s="181">
        <f>+'p y g proyectado'!F18</f>
        <v>0</v>
      </c>
      <c r="H10" s="181">
        <f>+'p y g proyectado'!G18</f>
        <v>0</v>
      </c>
      <c r="I10" s="179">
        <f>+'p y g proyectado'!H18</f>
        <v>0</v>
      </c>
      <c r="J10" s="179">
        <f>+'p y g proyectado'!I18</f>
        <v>0</v>
      </c>
      <c r="K10" s="179">
        <f>+'p y g proyectado'!J18</f>
        <v>0</v>
      </c>
      <c r="L10" s="179">
        <f>+'p y g proyectado'!K18</f>
        <v>0</v>
      </c>
      <c r="M10" s="179">
        <f>+'p y g proyectado'!L18</f>
        <v>0</v>
      </c>
      <c r="N10" s="179">
        <f>+'p y g proyectado'!M18</f>
        <v>0</v>
      </c>
      <c r="O10" s="179">
        <f>+'p y g proyectado'!N18</f>
        <v>0</v>
      </c>
      <c r="P10" s="179">
        <f>+'p y g proyectado'!O18</f>
        <v>0</v>
      </c>
      <c r="Q10" s="179">
        <f>+'p y g proyectado'!P18</f>
        <v>0</v>
      </c>
      <c r="R10" s="179">
        <f>+'p y g proyectado'!Q18</f>
        <v>0</v>
      </c>
      <c r="S10" s="82"/>
      <c r="T10" s="82"/>
      <c r="U10" s="82"/>
    </row>
    <row r="11" spans="2:21" ht="16.5" thickTop="1" thickBot="1" x14ac:dyDescent="0.3">
      <c r="B11" s="205" t="s">
        <v>2</v>
      </c>
      <c r="C11" s="208"/>
      <c r="D11" s="205">
        <f t="shared" ref="D11:R11" si="0">+D5-D6-D7-D8-D9-D10</f>
        <v>-29959742.469406392</v>
      </c>
      <c r="E11" s="205">
        <f t="shared" si="0"/>
        <v>1389958315.4765449</v>
      </c>
      <c r="F11" s="205">
        <f t="shared" si="0"/>
        <v>3192841584.7173729</v>
      </c>
      <c r="G11" s="205">
        <f t="shared" si="0"/>
        <v>0</v>
      </c>
      <c r="H11" s="205">
        <f t="shared" si="0"/>
        <v>0</v>
      </c>
      <c r="I11" s="179">
        <f t="shared" si="0"/>
        <v>0</v>
      </c>
      <c r="J11" s="179">
        <f t="shared" si="0"/>
        <v>0</v>
      </c>
      <c r="K11" s="179">
        <f t="shared" si="0"/>
        <v>0</v>
      </c>
      <c r="L11" s="179">
        <f t="shared" si="0"/>
        <v>0</v>
      </c>
      <c r="M11" s="179">
        <f t="shared" si="0"/>
        <v>0</v>
      </c>
      <c r="N11" s="179">
        <f t="shared" si="0"/>
        <v>0</v>
      </c>
      <c r="O11" s="179">
        <f t="shared" si="0"/>
        <v>0</v>
      </c>
      <c r="P11" s="179">
        <f t="shared" si="0"/>
        <v>0</v>
      </c>
      <c r="Q11" s="179">
        <f t="shared" si="0"/>
        <v>0</v>
      </c>
      <c r="R11" s="179">
        <f t="shared" si="0"/>
        <v>0</v>
      </c>
      <c r="S11" s="82"/>
      <c r="T11" s="82"/>
      <c r="U11" s="82"/>
    </row>
    <row r="12" spans="2:21" ht="16.5" thickTop="1" thickBot="1" x14ac:dyDescent="0.3">
      <c r="B12" s="180" t="s">
        <v>123</v>
      </c>
      <c r="C12" s="180"/>
      <c r="D12" s="181">
        <f>+'p y g proyectado'!C15+'p y g proyectado'!C24</f>
        <v>93960000</v>
      </c>
      <c r="E12" s="181">
        <f>+'p y g proyectado'!D15+'p y g proyectado'!D24</f>
        <v>96778800</v>
      </c>
      <c r="F12" s="181">
        <f>+'p y g proyectado'!E15+'p y g proyectado'!E24</f>
        <v>99682164</v>
      </c>
      <c r="G12" s="181" t="e">
        <f>+'p y g proyectado'!F15+'p y g proyectado'!F24</f>
        <v>#VALUE!</v>
      </c>
      <c r="H12" s="181" t="e">
        <f>+'p y g proyectado'!G15+'p y g proyectado'!G24</f>
        <v>#VALUE!</v>
      </c>
      <c r="I12" s="179">
        <f>+'p y g proyectado'!H15+'p y g proyectado'!H24</f>
        <v>0</v>
      </c>
      <c r="J12" s="179">
        <f>+'p y g proyectado'!I15+'p y g proyectado'!I24</f>
        <v>0</v>
      </c>
      <c r="K12" s="179">
        <f>+'p y g proyectado'!J15+'p y g proyectado'!J24</f>
        <v>0</v>
      </c>
      <c r="L12" s="179">
        <f>+'p y g proyectado'!K15+'p y g proyectado'!K24</f>
        <v>0</v>
      </c>
      <c r="M12" s="179">
        <f>+'p y g proyectado'!L15+'p y g proyectado'!L24</f>
        <v>0</v>
      </c>
      <c r="N12" s="179">
        <f>+'p y g proyectado'!M15+'p y g proyectado'!M24</f>
        <v>0</v>
      </c>
      <c r="O12" s="179">
        <f>+'p y g proyectado'!N15+'p y g proyectado'!N24</f>
        <v>0</v>
      </c>
      <c r="P12" s="179">
        <f>+'p y g proyectado'!O15+'p y g proyectado'!O24</f>
        <v>0</v>
      </c>
      <c r="Q12" s="179">
        <f>+'p y g proyectado'!P15+'p y g proyectado'!P24</f>
        <v>0</v>
      </c>
      <c r="R12" s="179">
        <f>+'p y g proyectado'!Q15+'p y g proyectado'!Q24</f>
        <v>0</v>
      </c>
      <c r="S12" s="82"/>
      <c r="T12" s="82"/>
      <c r="U12" s="82"/>
    </row>
    <row r="13" spans="2:21" ht="16.5" thickTop="1" thickBot="1" x14ac:dyDescent="0.3">
      <c r="B13" s="205" t="s">
        <v>137</v>
      </c>
      <c r="C13" s="208"/>
      <c r="D13" s="205">
        <f t="shared" ref="D13:R13" si="1">+D11-D12</f>
        <v>-123919742.4694064</v>
      </c>
      <c r="E13" s="205">
        <f t="shared" si="1"/>
        <v>1293179515.4765449</v>
      </c>
      <c r="F13" s="205">
        <f t="shared" si="1"/>
        <v>3093159420.7173729</v>
      </c>
      <c r="G13" s="205" t="e">
        <f t="shared" si="1"/>
        <v>#VALUE!</v>
      </c>
      <c r="H13" s="205" t="e">
        <f t="shared" si="1"/>
        <v>#VALUE!</v>
      </c>
      <c r="I13" s="205">
        <f t="shared" si="1"/>
        <v>0</v>
      </c>
      <c r="J13" s="205">
        <f t="shared" si="1"/>
        <v>0</v>
      </c>
      <c r="K13" s="205">
        <f t="shared" si="1"/>
        <v>0</v>
      </c>
      <c r="L13" s="205">
        <f t="shared" si="1"/>
        <v>0</v>
      </c>
      <c r="M13" s="205">
        <f t="shared" si="1"/>
        <v>0</v>
      </c>
      <c r="N13" s="205">
        <f t="shared" si="1"/>
        <v>0</v>
      </c>
      <c r="O13" s="205">
        <f t="shared" si="1"/>
        <v>0</v>
      </c>
      <c r="P13" s="205">
        <f t="shared" si="1"/>
        <v>0</v>
      </c>
      <c r="Q13" s="205">
        <f t="shared" si="1"/>
        <v>0</v>
      </c>
      <c r="R13" s="205">
        <f t="shared" si="1"/>
        <v>0</v>
      </c>
      <c r="S13" s="82"/>
      <c r="T13" s="82"/>
      <c r="U13" s="82"/>
    </row>
    <row r="14" spans="2:21" ht="16.5" thickTop="1" thickBot="1" x14ac:dyDescent="0.3">
      <c r="B14" s="180" t="s">
        <v>138</v>
      </c>
      <c r="C14" s="180"/>
      <c r="D14" s="181">
        <f>+'p y g proyectado'!C28</f>
        <v>144137090.13570777</v>
      </c>
      <c r="E14" s="181">
        <f>+'p y g proyectado'!D28</f>
        <v>609945434.16679072</v>
      </c>
      <c r="F14" s="181">
        <f>+'p y g proyectado'!E28</f>
        <v>737764193.50108027</v>
      </c>
      <c r="G14" s="181" t="e">
        <f>+'p y g proyectado'!F28</f>
        <v>#VALUE!</v>
      </c>
      <c r="H14" s="181" t="e">
        <f>+'p y g proyectado'!G28</f>
        <v>#VALUE!</v>
      </c>
      <c r="I14" s="179">
        <f>+'p y g proyectado'!H28</f>
        <v>0</v>
      </c>
      <c r="J14" s="179">
        <f>+'p y g proyectado'!I28</f>
        <v>0</v>
      </c>
      <c r="K14" s="179">
        <f>+'p y g proyectado'!J28</f>
        <v>0</v>
      </c>
      <c r="L14" s="179">
        <f>+'p y g proyectado'!K28</f>
        <v>0</v>
      </c>
      <c r="M14" s="179">
        <f>+'p y g proyectado'!L28</f>
        <v>0</v>
      </c>
      <c r="N14" s="179">
        <f>+'p y g proyectado'!M28</f>
        <v>0</v>
      </c>
      <c r="O14" s="179">
        <f>+'p y g proyectado'!N28</f>
        <v>0</v>
      </c>
      <c r="P14" s="179">
        <f>+'p y g proyectado'!O28</f>
        <v>0</v>
      </c>
      <c r="Q14" s="179">
        <f>+'p y g proyectado'!P28</f>
        <v>0</v>
      </c>
      <c r="R14" s="179">
        <f>+'p y g proyectado'!Q28</f>
        <v>0</v>
      </c>
      <c r="S14" s="82"/>
      <c r="T14" s="82"/>
      <c r="U14" s="82"/>
    </row>
    <row r="15" spans="2:21" ht="16.5" thickTop="1" thickBot="1" x14ac:dyDescent="0.3">
      <c r="B15" s="180" t="s">
        <v>139</v>
      </c>
      <c r="C15" s="180"/>
      <c r="D15" s="181">
        <v>0</v>
      </c>
      <c r="E15" s="181">
        <f>IF(E$4&lt;=Inicio!$D$13,+D14,0)</f>
        <v>144137090.13570777</v>
      </c>
      <c r="F15" s="181">
        <f>IF(F$4&lt;=Inicio!$D$13,+E14,0)</f>
        <v>609945434.16679072</v>
      </c>
      <c r="G15" s="181">
        <f>IF(G$4&lt;=Inicio!$D$13,+F14,0)</f>
        <v>0</v>
      </c>
      <c r="H15" s="181">
        <f>IF(H$4&lt;=Inicio!$D$13,+G14,0)</f>
        <v>0</v>
      </c>
      <c r="I15" s="179">
        <f>IF(I$4&lt;=Inicio!$D$13,+H14,0)</f>
        <v>0</v>
      </c>
      <c r="J15" s="179">
        <f>IF(J$4&lt;=Inicio!$D$13,+I14,0)</f>
        <v>0</v>
      </c>
      <c r="K15" s="179">
        <f>IF(K$4&lt;=Inicio!$D$13,+J14,0)</f>
        <v>0</v>
      </c>
      <c r="L15" s="179">
        <f>IF(L$4&lt;=Inicio!$D$13,+K14,0)</f>
        <v>0</v>
      </c>
      <c r="M15" s="179">
        <f>IF(M$4&lt;=Inicio!$D$13,+L14,0)</f>
        <v>0</v>
      </c>
      <c r="N15" s="179">
        <f>IF(N$4&lt;=Inicio!$D$13,+M14,0)</f>
        <v>0</v>
      </c>
      <c r="O15" s="179">
        <f>IF(O$4&lt;=Inicio!$D$13,+N14,0)</f>
        <v>0</v>
      </c>
      <c r="P15" s="179">
        <f>IF(P$4&lt;=Inicio!$D$13,+O14,0)</f>
        <v>0</v>
      </c>
      <c r="Q15" s="179">
        <f>IF(Q$4&lt;=Inicio!$D$13,+P14,0)</f>
        <v>0</v>
      </c>
      <c r="R15" s="179">
        <f>IF(R$4&lt;=Inicio!$D$13,+Q14,0)</f>
        <v>0</v>
      </c>
      <c r="S15" s="82"/>
      <c r="T15" s="82"/>
      <c r="U15" s="82"/>
    </row>
    <row r="16" spans="2:21" ht="16.5" thickTop="1" thickBot="1" x14ac:dyDescent="0.3">
      <c r="B16" s="178" t="s">
        <v>140</v>
      </c>
      <c r="C16" s="208"/>
      <c r="D16" s="205">
        <f t="shared" ref="D16:R16" si="2">+D13-D14</f>
        <v>-268056832.60511416</v>
      </c>
      <c r="E16" s="205">
        <f t="shared" si="2"/>
        <v>683234081.30975413</v>
      </c>
      <c r="F16" s="205">
        <f t="shared" si="2"/>
        <v>2355395227.2162924</v>
      </c>
      <c r="G16" s="205" t="e">
        <f t="shared" si="2"/>
        <v>#VALUE!</v>
      </c>
      <c r="H16" s="205" t="e">
        <f t="shared" si="2"/>
        <v>#VALUE!</v>
      </c>
      <c r="I16" s="205">
        <f t="shared" si="2"/>
        <v>0</v>
      </c>
      <c r="J16" s="205">
        <f t="shared" si="2"/>
        <v>0</v>
      </c>
      <c r="K16" s="205">
        <f t="shared" si="2"/>
        <v>0</v>
      </c>
      <c r="L16" s="205">
        <f t="shared" si="2"/>
        <v>0</v>
      </c>
      <c r="M16" s="205">
        <f t="shared" si="2"/>
        <v>0</v>
      </c>
      <c r="N16" s="205">
        <f t="shared" si="2"/>
        <v>0</v>
      </c>
      <c r="O16" s="205">
        <f t="shared" si="2"/>
        <v>0</v>
      </c>
      <c r="P16" s="205">
        <f t="shared" si="2"/>
        <v>0</v>
      </c>
      <c r="Q16" s="205">
        <f t="shared" si="2"/>
        <v>0</v>
      </c>
      <c r="R16" s="205">
        <f t="shared" si="2"/>
        <v>0</v>
      </c>
      <c r="S16" s="82"/>
      <c r="T16" s="82"/>
      <c r="U16" s="82"/>
    </row>
    <row r="17" spans="2:21" ht="16.5" thickTop="1" thickBot="1" x14ac:dyDescent="0.3">
      <c r="B17" s="180" t="s">
        <v>154</v>
      </c>
      <c r="C17" s="180"/>
      <c r="D17" s="181">
        <f t="shared" ref="D17:H18" si="3">+D8</f>
        <v>55000000</v>
      </c>
      <c r="E17" s="181">
        <f t="shared" si="3"/>
        <v>55000000</v>
      </c>
      <c r="F17" s="181">
        <f t="shared" si="3"/>
        <v>55000000</v>
      </c>
      <c r="G17" s="181">
        <f t="shared" si="3"/>
        <v>0</v>
      </c>
      <c r="H17" s="181">
        <f t="shared" si="3"/>
        <v>0</v>
      </c>
      <c r="I17" s="179">
        <f t="shared" ref="I17:R17" si="4">+I8</f>
        <v>0</v>
      </c>
      <c r="J17" s="179">
        <f t="shared" si="4"/>
        <v>0</v>
      </c>
      <c r="K17" s="179">
        <f t="shared" si="4"/>
        <v>0</v>
      </c>
      <c r="L17" s="179">
        <f t="shared" si="4"/>
        <v>0</v>
      </c>
      <c r="M17" s="179">
        <f t="shared" si="4"/>
        <v>0</v>
      </c>
      <c r="N17" s="179">
        <f t="shared" si="4"/>
        <v>0</v>
      </c>
      <c r="O17" s="179">
        <f t="shared" si="4"/>
        <v>0</v>
      </c>
      <c r="P17" s="179">
        <f t="shared" si="4"/>
        <v>0</v>
      </c>
      <c r="Q17" s="179">
        <f t="shared" si="4"/>
        <v>0</v>
      </c>
      <c r="R17" s="179">
        <f t="shared" si="4"/>
        <v>0</v>
      </c>
      <c r="S17" s="82"/>
      <c r="T17" s="82"/>
      <c r="U17" s="82"/>
    </row>
    <row r="18" spans="2:21" ht="16.5" thickTop="1" thickBot="1" x14ac:dyDescent="0.3">
      <c r="B18" s="180" t="s">
        <v>155</v>
      </c>
      <c r="C18" s="180"/>
      <c r="D18" s="181">
        <f t="shared" si="3"/>
        <v>22666666.666666668</v>
      </c>
      <c r="E18" s="181">
        <f t="shared" si="3"/>
        <v>22666666.666666668</v>
      </c>
      <c r="F18" s="181">
        <f t="shared" si="3"/>
        <v>22666666.666666668</v>
      </c>
      <c r="G18" s="181">
        <f t="shared" si="3"/>
        <v>0</v>
      </c>
      <c r="H18" s="181">
        <f t="shared" si="3"/>
        <v>0</v>
      </c>
      <c r="I18" s="179">
        <f t="shared" ref="I18:R18" si="5">+I9</f>
        <v>0</v>
      </c>
      <c r="J18" s="179">
        <f t="shared" si="5"/>
        <v>0</v>
      </c>
      <c r="K18" s="179">
        <f t="shared" si="5"/>
        <v>0</v>
      </c>
      <c r="L18" s="179">
        <f t="shared" si="5"/>
        <v>0</v>
      </c>
      <c r="M18" s="179">
        <f t="shared" si="5"/>
        <v>0</v>
      </c>
      <c r="N18" s="179">
        <f t="shared" si="5"/>
        <v>0</v>
      </c>
      <c r="O18" s="179">
        <f t="shared" si="5"/>
        <v>0</v>
      </c>
      <c r="P18" s="179">
        <f t="shared" si="5"/>
        <v>0</v>
      </c>
      <c r="Q18" s="179">
        <f t="shared" si="5"/>
        <v>0</v>
      </c>
      <c r="R18" s="179">
        <f t="shared" si="5"/>
        <v>0</v>
      </c>
      <c r="S18" s="82"/>
      <c r="T18" s="82"/>
      <c r="U18" s="82"/>
    </row>
    <row r="19" spans="2:21" ht="16.5" thickTop="1" thickBot="1" x14ac:dyDescent="0.3">
      <c r="B19" s="180" t="s">
        <v>141</v>
      </c>
      <c r="C19" s="180"/>
      <c r="D19" s="181">
        <f>+D14-D15</f>
        <v>144137090.13570777</v>
      </c>
      <c r="E19" s="181">
        <f>+E14-E15</f>
        <v>465808344.03108299</v>
      </c>
      <c r="F19" s="181">
        <f>+F14-F15</f>
        <v>127818759.33428955</v>
      </c>
      <c r="G19" s="181" t="e">
        <f>+G14-G15</f>
        <v>#VALUE!</v>
      </c>
      <c r="H19" s="181" t="e">
        <f>+H14-H15</f>
        <v>#VALUE!</v>
      </c>
      <c r="I19" s="179">
        <f t="shared" ref="I19:R19" si="6">+I14-I15</f>
        <v>0</v>
      </c>
      <c r="J19" s="179">
        <f t="shared" si="6"/>
        <v>0</v>
      </c>
      <c r="K19" s="179">
        <f t="shared" si="6"/>
        <v>0</v>
      </c>
      <c r="L19" s="179">
        <f t="shared" si="6"/>
        <v>0</v>
      </c>
      <c r="M19" s="179">
        <f t="shared" si="6"/>
        <v>0</v>
      </c>
      <c r="N19" s="179">
        <f t="shared" si="6"/>
        <v>0</v>
      </c>
      <c r="O19" s="179">
        <f t="shared" si="6"/>
        <v>0</v>
      </c>
      <c r="P19" s="179">
        <f t="shared" si="6"/>
        <v>0</v>
      </c>
      <c r="Q19" s="179">
        <f t="shared" si="6"/>
        <v>0</v>
      </c>
      <c r="R19" s="179">
        <f t="shared" si="6"/>
        <v>0</v>
      </c>
      <c r="S19" s="82"/>
      <c r="T19" s="82"/>
      <c r="U19" s="82"/>
    </row>
    <row r="20" spans="2:21" ht="16.5" thickTop="1" thickBot="1" x14ac:dyDescent="0.3">
      <c r="B20" s="180" t="s">
        <v>156</v>
      </c>
      <c r="C20" s="180"/>
      <c r="D20" s="181">
        <f>+D10</f>
        <v>50295635.802739725</v>
      </c>
      <c r="E20" s="181">
        <f>+E10</f>
        <v>35956704.656788245</v>
      </c>
      <c r="F20" s="181">
        <f>+F10</f>
        <v>19314985.019960608</v>
      </c>
      <c r="G20" s="181">
        <f>+G10</f>
        <v>0</v>
      </c>
      <c r="H20" s="181">
        <f>+H10</f>
        <v>0</v>
      </c>
      <c r="I20" s="179">
        <f t="shared" ref="I20:R20" si="7">+I10</f>
        <v>0</v>
      </c>
      <c r="J20" s="179">
        <f t="shared" si="7"/>
        <v>0</v>
      </c>
      <c r="K20" s="179">
        <f t="shared" si="7"/>
        <v>0</v>
      </c>
      <c r="L20" s="179">
        <f t="shared" si="7"/>
        <v>0</v>
      </c>
      <c r="M20" s="179">
        <f t="shared" si="7"/>
        <v>0</v>
      </c>
      <c r="N20" s="179">
        <f t="shared" si="7"/>
        <v>0</v>
      </c>
      <c r="O20" s="179">
        <f t="shared" si="7"/>
        <v>0</v>
      </c>
      <c r="P20" s="179">
        <f t="shared" si="7"/>
        <v>0</v>
      </c>
      <c r="Q20" s="179">
        <f t="shared" si="7"/>
        <v>0</v>
      </c>
      <c r="R20" s="179">
        <f t="shared" si="7"/>
        <v>0</v>
      </c>
      <c r="S20" s="82"/>
      <c r="T20" s="82"/>
      <c r="U20" s="82"/>
    </row>
    <row r="21" spans="2:21" ht="16.5" thickTop="1" thickBot="1" x14ac:dyDescent="0.3">
      <c r="B21" s="205" t="s">
        <v>142</v>
      </c>
      <c r="C21" s="208"/>
      <c r="D21" s="205">
        <f>SUM(D16:D20)</f>
        <v>4042559.9999999851</v>
      </c>
      <c r="E21" s="205">
        <f>SUM(E16:E20)</f>
        <v>1262665796.6642921</v>
      </c>
      <c r="F21" s="205">
        <f>SUM(F16:F20)</f>
        <v>2580195638.2372088</v>
      </c>
      <c r="G21" s="205" t="e">
        <f>SUM(G16:G20)</f>
        <v>#VALUE!</v>
      </c>
      <c r="H21" s="205" t="e">
        <f>SUM(H16:H20)</f>
        <v>#VALUE!</v>
      </c>
      <c r="I21" s="205">
        <f t="shared" ref="I21:R21" si="8">SUM(I16:I20)</f>
        <v>0</v>
      </c>
      <c r="J21" s="205">
        <f t="shared" si="8"/>
        <v>0</v>
      </c>
      <c r="K21" s="205">
        <f t="shared" si="8"/>
        <v>0</v>
      </c>
      <c r="L21" s="205">
        <f t="shared" si="8"/>
        <v>0</v>
      </c>
      <c r="M21" s="205">
        <f t="shared" si="8"/>
        <v>0</v>
      </c>
      <c r="N21" s="205">
        <f t="shared" si="8"/>
        <v>0</v>
      </c>
      <c r="O21" s="205">
        <f t="shared" si="8"/>
        <v>0</v>
      </c>
      <c r="P21" s="205">
        <f t="shared" si="8"/>
        <v>0</v>
      </c>
      <c r="Q21" s="205">
        <f t="shared" si="8"/>
        <v>0</v>
      </c>
      <c r="R21" s="205">
        <f t="shared" si="8"/>
        <v>0</v>
      </c>
      <c r="S21" s="82"/>
      <c r="T21" s="82"/>
      <c r="U21" s="82"/>
    </row>
    <row r="22" spans="2:21" ht="16.5" thickTop="1" thickBot="1" x14ac:dyDescent="0.3">
      <c r="B22" s="178" t="s">
        <v>157</v>
      </c>
      <c r="C22" s="180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82"/>
      <c r="T22" s="82"/>
      <c r="U22" s="82"/>
    </row>
    <row r="23" spans="2:21" ht="16.5" thickTop="1" thickBot="1" x14ac:dyDescent="0.3">
      <c r="B23" s="178" t="s">
        <v>158</v>
      </c>
      <c r="C23" s="181">
        <f>+financiación!C15+financiación!C24+financiación!C6</f>
        <v>313661589.04109585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82"/>
      <c r="T23" s="82"/>
      <c r="U23" s="82"/>
    </row>
    <row r="24" spans="2:21" ht="16.5" thickTop="1" thickBot="1" x14ac:dyDescent="0.3">
      <c r="B24" s="178" t="s">
        <v>143</v>
      </c>
      <c r="C24" s="181">
        <f>-'inversión inicial'!C19</f>
        <v>-400000000</v>
      </c>
      <c r="D24" s="179">
        <f>IF(D$4=Inicio!$D$13,+'inversión inicial'!$E$19,0)</f>
        <v>0</v>
      </c>
      <c r="E24" s="179">
        <f>IF(E$4=Inicio!$D$13,+'inversión inicial'!$E$19,0)</f>
        <v>0</v>
      </c>
      <c r="F24" s="179">
        <f>IF(F$4=Inicio!$D$13,+'inversión inicial'!$E$19,0)</f>
        <v>300000000</v>
      </c>
      <c r="G24" s="179">
        <f>IF(G$4=Inicio!$D$13,+'inversión inicial'!$E$19,0)</f>
        <v>0</v>
      </c>
      <c r="H24" s="179">
        <f>IF(H$4=Inicio!$D$13,+'inversión inicial'!$E$19,0)</f>
        <v>0</v>
      </c>
      <c r="I24" s="179">
        <f>IF(I$4=Inicio!$D$13,+'inversión inicial'!$E$19,0)</f>
        <v>0</v>
      </c>
      <c r="J24" s="179">
        <f>IF(J$4=Inicio!$D$13,+'inversión inicial'!$E$19,0)</f>
        <v>0</v>
      </c>
      <c r="K24" s="179">
        <f>IF(K$4=Inicio!$D$13,+'inversión inicial'!$E$19,0)</f>
        <v>0</v>
      </c>
      <c r="L24" s="179">
        <f>IF(L$4=Inicio!$D$13,+'inversión inicial'!$E$19,0)</f>
        <v>0</v>
      </c>
      <c r="M24" s="179">
        <f>IF(M$4=Inicio!$D$13,+'inversión inicial'!$E$19,0)</f>
        <v>0</v>
      </c>
      <c r="N24" s="179">
        <f>IF(N$4=Inicio!$D$13,+'inversión inicial'!$E$19,0)</f>
        <v>0</v>
      </c>
      <c r="O24" s="179">
        <f>IF(O$4=Inicio!$D$13,+'inversión inicial'!$E$19,0)</f>
        <v>0</v>
      </c>
      <c r="P24" s="179">
        <f>IF(P$4=Inicio!$D$13,+'inversión inicial'!$E$19,0)</f>
        <v>0</v>
      </c>
      <c r="Q24" s="179">
        <f>IF(Q$4=Inicio!$D$13,+'inversión inicial'!$E$19,0)</f>
        <v>0</v>
      </c>
      <c r="R24" s="179">
        <f>IF(R$4=Inicio!$D$13,+'inversión inicial'!$E$19,0)</f>
        <v>0</v>
      </c>
      <c r="S24" s="82" t="s">
        <v>0</v>
      </c>
      <c r="T24" s="82"/>
      <c r="U24" s="82"/>
    </row>
    <row r="25" spans="2:21" ht="16.5" thickTop="1" thickBot="1" x14ac:dyDescent="0.3">
      <c r="B25" s="178" t="s">
        <v>144</v>
      </c>
      <c r="C25" s="181">
        <f>-'inversión inicial'!C20</f>
        <v>-68000000</v>
      </c>
      <c r="D25" s="179">
        <f>IF(D$4=Inicio!$D$13,+'inversión inicial'!$E$20,0)</f>
        <v>0</v>
      </c>
      <c r="E25" s="179">
        <f>IF(E$4=Inicio!$D$13,+'inversión inicial'!$E$20,0)</f>
        <v>0</v>
      </c>
      <c r="F25" s="179">
        <f>IF(F$4=Inicio!$D$13,+'inversión inicial'!$E$20,0)</f>
        <v>51000000</v>
      </c>
      <c r="G25" s="179">
        <f>IF(G$4=Inicio!$D$13,+'inversión inicial'!$E$20,0)</f>
        <v>0</v>
      </c>
      <c r="H25" s="179">
        <f>IF(H$4=Inicio!$D$13,+'inversión inicial'!$E$20,0)</f>
        <v>0</v>
      </c>
      <c r="I25" s="179">
        <f>IF(I$4=Inicio!$D$13,+'inversión inicial'!$E$20,0)</f>
        <v>0</v>
      </c>
      <c r="J25" s="179">
        <f>IF(J$4=Inicio!$D$13,+'inversión inicial'!$E$20,0)</f>
        <v>0</v>
      </c>
      <c r="K25" s="179">
        <f>IF(K$4=Inicio!$D$13,+'inversión inicial'!$E$20,0)</f>
        <v>0</v>
      </c>
      <c r="L25" s="179">
        <f>IF(L$4=Inicio!$D$13,+'inversión inicial'!$E$20,0)</f>
        <v>0</v>
      </c>
      <c r="M25" s="179">
        <f>IF(M$4=Inicio!$D$13,+'inversión inicial'!$E$20,0)</f>
        <v>0</v>
      </c>
      <c r="N25" s="179">
        <f>IF(N$4=Inicio!$D$13,+'inversión inicial'!$E$20,0)</f>
        <v>0</v>
      </c>
      <c r="O25" s="179">
        <f>IF(O$4=Inicio!$D$13,+'inversión inicial'!$E$20,0)</f>
        <v>0</v>
      </c>
      <c r="P25" s="179">
        <f>IF(P$4=Inicio!$D$13,+'inversión inicial'!$E$20,0)</f>
        <v>0</v>
      </c>
      <c r="Q25" s="179">
        <f>IF(Q$4=Inicio!$D$13,+'inversión inicial'!$E$20,0)</f>
        <v>0</v>
      </c>
      <c r="R25" s="179">
        <f>IF(R$4=Inicio!$D$13,+'inversión inicial'!$E$20,0)</f>
        <v>0</v>
      </c>
      <c r="S25" s="82"/>
      <c r="T25" s="82"/>
      <c r="U25" s="82"/>
    </row>
    <row r="26" spans="2:21" ht="16.5" thickTop="1" thickBot="1" x14ac:dyDescent="0.3">
      <c r="B26" s="178" t="s">
        <v>207</v>
      </c>
      <c r="C26" s="181">
        <f>-'inversión inicial'!C21</f>
        <v>-272120547.94520545</v>
      </c>
      <c r="D26" s="179">
        <f>IF(D$4=Inicio!$D$13,+'inversión inicial'!$E$21,)</f>
        <v>0</v>
      </c>
      <c r="E26" s="179">
        <f>IF(E$4=Inicio!$D$13,+'inversión inicial'!$E$21,)</f>
        <v>0</v>
      </c>
      <c r="F26" s="179">
        <f>IF(F$4=Inicio!$D$13,+'inversión inicial'!$E$21,)</f>
        <v>272120547.94520545</v>
      </c>
      <c r="G26" s="179">
        <f>IF(G$4=Inicio!$D$13,+'inversión inicial'!$E$21,)</f>
        <v>0</v>
      </c>
      <c r="H26" s="179">
        <f>IF(H$4=Inicio!$D$13,+'inversión inicial'!$E$21,)</f>
        <v>0</v>
      </c>
      <c r="I26" s="179">
        <f>IF(I$4=Inicio!$D$13,+'inversión inicial'!$E$21,)</f>
        <v>0</v>
      </c>
      <c r="J26" s="179">
        <f>IF(J$4=Inicio!$D$13,+'inversión inicial'!$E$21,)</f>
        <v>0</v>
      </c>
      <c r="K26" s="179">
        <f>IF(K$4=Inicio!$D$13,+'inversión inicial'!$E$21,)</f>
        <v>0</v>
      </c>
      <c r="L26" s="179">
        <f>IF(L$4=Inicio!$D$13,+'inversión inicial'!$E$21,)</f>
        <v>0</v>
      </c>
      <c r="M26" s="179">
        <f>IF(M$4=Inicio!$D$13,+'inversión inicial'!$E$21,)</f>
        <v>0</v>
      </c>
      <c r="N26" s="179">
        <f>IF(N$4=Inicio!$D$13,+'inversión inicial'!$E$21,)</f>
        <v>0</v>
      </c>
      <c r="O26" s="179">
        <f>IF(O$4=Inicio!$D$13,+'inversión inicial'!$E$21,)</f>
        <v>0</v>
      </c>
      <c r="P26" s="179">
        <f>IF(P$4=Inicio!$D$13,+'inversión inicial'!$E$21,)</f>
        <v>0</v>
      </c>
      <c r="Q26" s="179">
        <f>IF(Q$4=Inicio!$D$13,+'inversión inicial'!$E$21,)</f>
        <v>0</v>
      </c>
      <c r="R26" s="179">
        <f>IF(R$4=Inicio!$D$13,+'inversión inicial'!$E$21,)</f>
        <v>0</v>
      </c>
      <c r="S26" s="82"/>
      <c r="T26" s="82"/>
      <c r="U26" s="82"/>
    </row>
    <row r="27" spans="2:21" ht="16.5" thickTop="1" thickBot="1" x14ac:dyDescent="0.3">
      <c r="B27" s="178" t="s">
        <v>206</v>
      </c>
      <c r="C27" s="181">
        <f>-'inversión inicial'!C22</f>
        <v>-44033424.657534242</v>
      </c>
      <c r="D27" s="179">
        <f>IF(D$4=Inicio!$D$13,+'inversión inicial'!$E$22,)</f>
        <v>0</v>
      </c>
      <c r="E27" s="179">
        <f>IF(E$4=Inicio!$D$13,+'inversión inicial'!$E$22,)</f>
        <v>0</v>
      </c>
      <c r="F27" s="179">
        <f>IF(F$4=Inicio!$D$13,+'inversión inicial'!$E$22,)</f>
        <v>44033424.657534242</v>
      </c>
      <c r="G27" s="179">
        <f>IF(G$4=Inicio!$D$13,+'inversión inicial'!$E$22,)</f>
        <v>0</v>
      </c>
      <c r="H27" s="179">
        <f>IF(H$4=Inicio!$D$13,+'inversión inicial'!$E$22,)</f>
        <v>0</v>
      </c>
      <c r="I27" s="179">
        <f>IF(I$4=Inicio!$D$13,+'inversión inicial'!$E$22,)</f>
        <v>0</v>
      </c>
      <c r="J27" s="179">
        <f>IF(J$4=Inicio!$D$13,+'inversión inicial'!$E$22,)</f>
        <v>0</v>
      </c>
      <c r="K27" s="179">
        <f>IF(K$4=Inicio!$D$13,+'inversión inicial'!$E$22,)</f>
        <v>0</v>
      </c>
      <c r="L27" s="179">
        <f>IF(L$4=Inicio!$D$13,+'inversión inicial'!$E$22,)</f>
        <v>0</v>
      </c>
      <c r="M27" s="179">
        <f>IF(M$4=Inicio!$D$13,+'inversión inicial'!$E$22,)</f>
        <v>0</v>
      </c>
      <c r="N27" s="179">
        <f>IF(N$4=Inicio!$D$13,+'inversión inicial'!$E$22,)</f>
        <v>0</v>
      </c>
      <c r="O27" s="179">
        <f>IF(O$4=Inicio!$D$13,+'inversión inicial'!$E$22,)</f>
        <v>0</v>
      </c>
      <c r="P27" s="179">
        <f>IF(P$4=Inicio!$D$13,+'inversión inicial'!$E$22,)</f>
        <v>0</v>
      </c>
      <c r="Q27" s="179">
        <f>IF(Q$4=Inicio!$D$13,+'inversión inicial'!$E$22,)</f>
        <v>0</v>
      </c>
      <c r="R27" s="179">
        <f>IF(R$4=Inicio!$D$13,+'inversión inicial'!$E$22,)</f>
        <v>0</v>
      </c>
      <c r="S27" s="82"/>
      <c r="T27" s="82"/>
      <c r="U27" s="82"/>
    </row>
    <row r="28" spans="2:21" ht="16.5" thickTop="1" thickBot="1" x14ac:dyDescent="0.3">
      <c r="B28" s="178" t="s">
        <v>145</v>
      </c>
      <c r="C28" s="181">
        <f>SUM(C24:C27)+C23</f>
        <v>-470492383.56164384</v>
      </c>
      <c r="D28" s="178"/>
      <c r="E28" s="178"/>
      <c r="F28" s="178"/>
      <c r="G28" s="178"/>
      <c r="H28" s="178">
        <v>0</v>
      </c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82"/>
      <c r="T28" s="82"/>
      <c r="U28" s="82"/>
    </row>
    <row r="29" spans="2:21" ht="16.5" thickTop="1" thickBot="1" x14ac:dyDescent="0.3">
      <c r="B29" s="178" t="s">
        <v>159</v>
      </c>
      <c r="C29" s="181">
        <v>0</v>
      </c>
      <c r="D29" s="179">
        <f>+financiación!D8+financiación!D17+financiación!D26</f>
        <v>89447335.704121798</v>
      </c>
      <c r="E29" s="179">
        <f>+financiación!E8+financiación!E17+financiación!E26</f>
        <v>103786266.85007328</v>
      </c>
      <c r="F29" s="179">
        <f>+financiación!F8+financiación!F17+financiación!F26</f>
        <v>120427986.48690091</v>
      </c>
      <c r="G29" s="179">
        <f>+financiación!G8+financiación!G17+financiación!G26</f>
        <v>0</v>
      </c>
      <c r="H29" s="179">
        <f>+financiación!H8+financiación!H17+financiación!H26</f>
        <v>0</v>
      </c>
      <c r="I29" s="179">
        <f>+financiación!I8+financiación!I17+financiación!I26</f>
        <v>0</v>
      </c>
      <c r="J29" s="179">
        <f>+financiación!J8+financiación!J17+financiación!J26</f>
        <v>0</v>
      </c>
      <c r="K29" s="179">
        <f>+financiación!K8+financiación!K17+financiación!K26</f>
        <v>0</v>
      </c>
      <c r="L29" s="179">
        <f>+financiación!L8+financiación!L17+financiación!L26</f>
        <v>0</v>
      </c>
      <c r="M29" s="179">
        <f>+financiación!M8+financiación!M17+financiación!M26</f>
        <v>0</v>
      </c>
      <c r="N29" s="179">
        <f>+financiación!N8+financiación!N17+financiación!N26</f>
        <v>0</v>
      </c>
      <c r="O29" s="179">
        <f>+financiación!O8+financiación!O17+financiación!O26</f>
        <v>0</v>
      </c>
      <c r="P29" s="179">
        <f>+financiación!P8+financiación!P17+financiación!P26</f>
        <v>0</v>
      </c>
      <c r="Q29" s="179">
        <f>+financiación!Q8+financiación!Q17+financiación!Q26</f>
        <v>0</v>
      </c>
      <c r="R29" s="179">
        <f>+financiación!R8+financiación!R17+financiación!R26</f>
        <v>0</v>
      </c>
      <c r="S29" s="82" t="s">
        <v>0</v>
      </c>
      <c r="T29" s="82"/>
      <c r="U29" s="82"/>
    </row>
    <row r="30" spans="2:21" ht="17.25" thickTop="1" thickBot="1" x14ac:dyDescent="0.3">
      <c r="B30" s="209" t="s">
        <v>146</v>
      </c>
      <c r="C30" s="184">
        <f>+C28</f>
        <v>-470492383.56164384</v>
      </c>
      <c r="D30" s="184">
        <f>+D21-D29</f>
        <v>-85404775.704121813</v>
      </c>
      <c r="E30" s="184">
        <f>+E21-E29</f>
        <v>1158879529.8142188</v>
      </c>
      <c r="F30" s="184">
        <f>+F21-F29</f>
        <v>2459767651.750308</v>
      </c>
      <c r="G30" s="184" t="e">
        <f>+G21-G29</f>
        <v>#VALUE!</v>
      </c>
      <c r="H30" s="184" t="e">
        <f t="shared" ref="H30:R30" si="9">+H21-H29+H26+H24</f>
        <v>#VALUE!</v>
      </c>
      <c r="I30" s="184">
        <f t="shared" si="9"/>
        <v>0</v>
      </c>
      <c r="J30" s="184">
        <f t="shared" si="9"/>
        <v>0</v>
      </c>
      <c r="K30" s="184">
        <f t="shared" si="9"/>
        <v>0</v>
      </c>
      <c r="L30" s="184">
        <f t="shared" si="9"/>
        <v>0</v>
      </c>
      <c r="M30" s="184">
        <f t="shared" si="9"/>
        <v>0</v>
      </c>
      <c r="N30" s="184">
        <f t="shared" si="9"/>
        <v>0</v>
      </c>
      <c r="O30" s="184">
        <f t="shared" si="9"/>
        <v>0</v>
      </c>
      <c r="P30" s="184">
        <f t="shared" si="9"/>
        <v>0</v>
      </c>
      <c r="Q30" s="184">
        <f t="shared" si="9"/>
        <v>0</v>
      </c>
      <c r="R30" s="184">
        <f t="shared" si="9"/>
        <v>0</v>
      </c>
      <c r="S30" s="176"/>
      <c r="T30" s="176"/>
      <c r="U30" s="82"/>
    </row>
    <row r="31" spans="2:21" ht="13.5" thickTop="1" x14ac:dyDescent="0.2">
      <c r="B31" s="210"/>
      <c r="C31" s="211"/>
      <c r="D31" s="211"/>
      <c r="E31" s="211"/>
      <c r="F31" s="211"/>
      <c r="G31" s="211"/>
      <c r="H31" s="211"/>
      <c r="I31" s="212"/>
      <c r="J31" s="158"/>
      <c r="K31" s="88"/>
      <c r="L31" s="88"/>
      <c r="M31" s="88"/>
      <c r="N31" s="88"/>
      <c r="O31" s="88"/>
      <c r="P31" s="88"/>
      <c r="Q31" s="88"/>
      <c r="R31" s="88"/>
    </row>
    <row r="32" spans="2:21" ht="13.5" thickBot="1" x14ac:dyDescent="0.25">
      <c r="B32" s="210"/>
      <c r="C32" s="211"/>
      <c r="D32" s="211"/>
      <c r="E32" s="211"/>
      <c r="F32" s="211"/>
      <c r="G32" s="211"/>
      <c r="H32" s="211"/>
      <c r="I32" s="212"/>
      <c r="J32" s="158"/>
      <c r="K32" s="88"/>
      <c r="L32" s="88"/>
      <c r="M32" s="88"/>
      <c r="N32" s="88"/>
      <c r="O32" s="88"/>
      <c r="P32" s="88"/>
      <c r="Q32" s="88"/>
      <c r="R32" s="88"/>
    </row>
    <row r="33" spans="2:18" ht="16.5" thickTop="1" thickBot="1" x14ac:dyDescent="0.3">
      <c r="B33" s="326" t="s">
        <v>37</v>
      </c>
      <c r="C33" s="327"/>
      <c r="D33" s="211"/>
      <c r="E33" s="211"/>
      <c r="F33" s="211"/>
      <c r="G33" s="211"/>
      <c r="H33" s="211"/>
      <c r="I33" s="212"/>
      <c r="J33" s="158"/>
      <c r="K33" s="88"/>
      <c r="L33" s="88"/>
      <c r="M33" s="88"/>
      <c r="N33" s="88"/>
      <c r="O33" s="88"/>
      <c r="P33" s="88"/>
      <c r="Q33" s="88"/>
      <c r="R33" s="88"/>
    </row>
    <row r="34" spans="2:18" ht="16.5" thickTop="1" thickBot="1" x14ac:dyDescent="0.3">
      <c r="B34" s="83" t="s">
        <v>5</v>
      </c>
      <c r="C34" s="213">
        <f>IRR(C30:F30)</f>
        <v>1.1289401891496293</v>
      </c>
      <c r="D34" s="15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2:18" ht="16.5" thickTop="1" thickBot="1" x14ac:dyDescent="0.3">
      <c r="B35" s="83" t="s">
        <v>257</v>
      </c>
      <c r="C35" s="213">
        <f>MIRR(C30:F30,0.25,)</f>
        <v>0.88669572094579885</v>
      </c>
      <c r="D35" s="15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2:18" ht="16.5" thickTop="1" thickBot="1" x14ac:dyDescent="0.3">
      <c r="B36" s="170" t="s">
        <v>3</v>
      </c>
      <c r="C36" s="155">
        <f>+NPV(C37,C30:F30)</f>
        <v>1169814186.1218531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</row>
    <row r="37" spans="2:18" ht="16.5" thickTop="1" thickBot="1" x14ac:dyDescent="0.3">
      <c r="B37" s="83" t="s">
        <v>4</v>
      </c>
      <c r="C37" s="170">
        <f>Inicio!D12</f>
        <v>0.25</v>
      </c>
      <c r="D37" s="15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</row>
    <row r="38" spans="2:18" ht="16.5" thickTop="1" thickBot="1" x14ac:dyDescent="0.3">
      <c r="B38" s="83" t="s">
        <v>17</v>
      </c>
      <c r="C38" s="214">
        <f>+C44/-C45</f>
        <v>3.7138525557654609</v>
      </c>
      <c r="D38" s="15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2:18" ht="16.5" thickTop="1" thickBot="1" x14ac:dyDescent="0.3">
      <c r="B39" s="83" t="s">
        <v>104</v>
      </c>
      <c r="C39" s="155">
        <f>(+D7+D8+D9+D10+D12)/(1-(D6/'presupuesto compras y ventas'!C41))</f>
        <v>1096162746.0540724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</row>
    <row r="40" spans="2:18" ht="13.5" thickTop="1" x14ac:dyDescent="0.2">
      <c r="B40" s="88" t="s">
        <v>0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</row>
    <row r="41" spans="2:18" ht="13.5" hidden="1" thickBot="1" x14ac:dyDescent="0.25">
      <c r="B41" s="215" t="s">
        <v>92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</row>
    <row r="42" spans="2:18" ht="13.5" hidden="1" thickBot="1" x14ac:dyDescent="0.25">
      <c r="B42" s="215" t="s">
        <v>93</v>
      </c>
      <c r="C42" s="216">
        <f>IF(C30&gt;=0,C30,0)</f>
        <v>0</v>
      </c>
      <c r="D42" s="217">
        <f t="shared" ref="D42:R42" si="10">IF(D30&gt;=0,D30,0)</f>
        <v>0</v>
      </c>
      <c r="E42" s="217">
        <f t="shared" si="10"/>
        <v>1158879529.8142188</v>
      </c>
      <c r="F42" s="217">
        <f t="shared" si="10"/>
        <v>2459767651.750308</v>
      </c>
      <c r="G42" s="217" t="e">
        <f t="shared" si="10"/>
        <v>#VALUE!</v>
      </c>
      <c r="H42" s="217" t="e">
        <f t="shared" si="10"/>
        <v>#VALUE!</v>
      </c>
      <c r="I42" s="217">
        <f t="shared" si="10"/>
        <v>0</v>
      </c>
      <c r="J42" s="217">
        <f t="shared" si="10"/>
        <v>0</v>
      </c>
      <c r="K42" s="217">
        <f t="shared" si="10"/>
        <v>0</v>
      </c>
      <c r="L42" s="217">
        <f t="shared" si="10"/>
        <v>0</v>
      </c>
      <c r="M42" s="217">
        <f t="shared" si="10"/>
        <v>0</v>
      </c>
      <c r="N42" s="217">
        <f t="shared" si="10"/>
        <v>0</v>
      </c>
      <c r="O42" s="217">
        <f t="shared" si="10"/>
        <v>0</v>
      </c>
      <c r="P42" s="217">
        <f t="shared" si="10"/>
        <v>0</v>
      </c>
      <c r="Q42" s="217">
        <f t="shared" si="10"/>
        <v>0</v>
      </c>
      <c r="R42" s="218">
        <f t="shared" si="10"/>
        <v>0</v>
      </c>
    </row>
    <row r="43" spans="2:18" ht="13.5" hidden="1" thickBot="1" x14ac:dyDescent="0.25">
      <c r="B43" s="215" t="s">
        <v>96</v>
      </c>
      <c r="C43" s="216">
        <f>IF(C30&lt;0,C30,0)</f>
        <v>-470492383.56164384</v>
      </c>
      <c r="D43" s="217">
        <f t="shared" ref="D43:R43" si="11">IF(D30&lt;0,D30,0)</f>
        <v>-85404775.704121813</v>
      </c>
      <c r="E43" s="217">
        <f t="shared" si="11"/>
        <v>0</v>
      </c>
      <c r="F43" s="217">
        <f t="shared" si="11"/>
        <v>0</v>
      </c>
      <c r="G43" s="217" t="e">
        <f t="shared" si="11"/>
        <v>#VALUE!</v>
      </c>
      <c r="H43" s="217" t="e">
        <f t="shared" si="11"/>
        <v>#VALUE!</v>
      </c>
      <c r="I43" s="217">
        <f t="shared" si="11"/>
        <v>0</v>
      </c>
      <c r="J43" s="217">
        <f t="shared" si="11"/>
        <v>0</v>
      </c>
      <c r="K43" s="217">
        <f t="shared" si="11"/>
        <v>0</v>
      </c>
      <c r="L43" s="217">
        <f t="shared" si="11"/>
        <v>0</v>
      </c>
      <c r="M43" s="217">
        <f t="shared" si="11"/>
        <v>0</v>
      </c>
      <c r="N43" s="217">
        <f t="shared" si="11"/>
        <v>0</v>
      </c>
      <c r="O43" s="217">
        <f t="shared" si="11"/>
        <v>0</v>
      </c>
      <c r="P43" s="217">
        <f t="shared" si="11"/>
        <v>0</v>
      </c>
      <c r="Q43" s="217">
        <f t="shared" si="11"/>
        <v>0</v>
      </c>
      <c r="R43" s="218">
        <f t="shared" si="11"/>
        <v>0</v>
      </c>
    </row>
    <row r="44" spans="2:18" hidden="1" x14ac:dyDescent="0.2">
      <c r="B44" s="215" t="s">
        <v>94</v>
      </c>
      <c r="C44" s="219">
        <f>+C42+D42/(1+C37)+E42/POWER(1+C37,2)+F42/POWER(1+C37,3)</f>
        <v>2001083936.7772577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2:18" hidden="1" x14ac:dyDescent="0.2">
      <c r="B45" s="215" t="s">
        <v>95</v>
      </c>
      <c r="C45" s="219">
        <f>+C43+D43/(1+C37)+E43/POWER(1+C37,2)+F43/POWER(1+C37,3)</f>
        <v>-538816204.12494135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2:18" hidden="1" x14ac:dyDescent="0.2">
      <c r="B46" s="215" t="s">
        <v>102</v>
      </c>
      <c r="C46" s="219">
        <f>+C42*POWER(1+C37,(C47-0))+D42*POWER(1+C37,(C47-1))+E42*POWER(1+C37,(C47-2))+F42</f>
        <v>3908367064.0180817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2:18" ht="13.5" hidden="1" thickBot="1" x14ac:dyDescent="0.25">
      <c r="B47" s="215" t="s">
        <v>103</v>
      </c>
      <c r="C47" s="220">
        <f>Inicio!D13</f>
        <v>3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</row>
    <row r="48" spans="2:18" hidden="1" x14ac:dyDescent="0.2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</row>
    <row r="49" spans="2:18" hidden="1" x14ac:dyDescent="0.2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</row>
    <row r="50" spans="2:18" hidden="1" x14ac:dyDescent="0.2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</row>
    <row r="51" spans="2:18" hidden="1" x14ac:dyDescent="0.2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2:18" hidden="1" x14ac:dyDescent="0.2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</row>
    <row r="53" spans="2:18" hidden="1" x14ac:dyDescent="0.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4" spans="2:18" hidden="1" x14ac:dyDescent="0.2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</row>
    <row r="55" spans="2:18" hidden="1" x14ac:dyDescent="0.2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</row>
    <row r="56" spans="2:18" hidden="1" x14ac:dyDescent="0.2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</row>
    <row r="57" spans="2:18" hidden="1" x14ac:dyDescent="0.2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</row>
    <row r="58" spans="2:18" hidden="1" x14ac:dyDescent="0.2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</row>
    <row r="59" spans="2:18" hidden="1" x14ac:dyDescent="0.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</row>
    <row r="60" spans="2:18" hidden="1" x14ac:dyDescent="0.2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</row>
    <row r="61" spans="2:18" hidden="1" x14ac:dyDescent="0.2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</row>
    <row r="62" spans="2:18" hidden="1" x14ac:dyDescent="0.2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</row>
    <row r="63" spans="2:18" hidden="1" x14ac:dyDescent="0.2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</row>
    <row r="64" spans="2:18" hidden="1" x14ac:dyDescent="0.2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</row>
    <row r="65" spans="2:18" hidden="1" x14ac:dyDescent="0.2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</row>
    <row r="66" spans="2:18" hidden="1" x14ac:dyDescent="0.2"/>
    <row r="67" spans="2:18" hidden="1" x14ac:dyDescent="0.2"/>
    <row r="68" spans="2:18" hidden="1" x14ac:dyDescent="0.2"/>
    <row r="69" spans="2:18" hidden="1" x14ac:dyDescent="0.2"/>
    <row r="70" spans="2:18" hidden="1" x14ac:dyDescent="0.2"/>
    <row r="71" spans="2:18" hidden="1" x14ac:dyDescent="0.2"/>
    <row r="72" spans="2:18" hidden="1" x14ac:dyDescent="0.2"/>
    <row r="73" spans="2:18" hidden="1" x14ac:dyDescent="0.2"/>
    <row r="74" spans="2:18" hidden="1" x14ac:dyDescent="0.2"/>
    <row r="75" spans="2:18" x14ac:dyDescent="0.2"/>
  </sheetData>
  <sheetProtection password="99B7" sheet="1" objects="1" scenarios="1"/>
  <customSheetViews>
    <customSheetView guid="{4BF10618-D357-11D5-9338-EFF21189730A}" showGridLines="0" outlineSymbols="0" showRuler="0" topLeftCell="A36">
      <selection activeCell="B46" sqref="B46"/>
      <pageMargins left="0.59055118110236227" right="0.51181102362204722" top="0.98425196850393704" bottom="0.98425196850393704" header="0" footer="0"/>
      <printOptions horizontalCentered="1"/>
      <pageSetup scale="55" orientation="landscape" horizontalDpi="300" verticalDpi="300" r:id="rId1"/>
      <headerFooter alignWithMargins="0"/>
    </customSheetView>
  </customSheetViews>
  <mergeCells count="4">
    <mergeCell ref="B1:R1"/>
    <mergeCell ref="B2:R2"/>
    <mergeCell ref="B3:R3"/>
    <mergeCell ref="B33:C33"/>
  </mergeCells>
  <printOptions horizontalCentered="1"/>
  <pageMargins left="0.59055118110236227" right="0.51181102362204722" top="0.98425196850393704" bottom="0.98425196850393704" header="0" footer="0"/>
  <pageSetup scale="55" orientation="landscape" horizontalDpi="300" verticalDpi="300" r:id="rId2"/>
  <headerFooter alignWithMargins="0"/>
  <ignoredErrors>
    <ignoredError sqref="B1:R3 E18 E5:E17 E19:E35 F5:F3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99"/>
  <sheetViews>
    <sheetView showGridLines="0" showRowColHeaders="0" showOutlineSymbols="0" topLeftCell="B13" workbookViewId="0">
      <selection activeCell="C41" sqref="C41"/>
    </sheetView>
  </sheetViews>
  <sheetFormatPr baseColWidth="10" defaultColWidth="0" defaultRowHeight="12.75" zeroHeight="1" x14ac:dyDescent="0.2"/>
  <cols>
    <col min="1" max="1" width="9" style="82" customWidth="1"/>
    <col min="2" max="2" width="41.5703125" style="82" bestFit="1" customWidth="1"/>
    <col min="3" max="3" width="15.42578125" style="82" bestFit="1" customWidth="1"/>
    <col min="4" max="4" width="17.140625" style="82" bestFit="1" customWidth="1"/>
    <col min="5" max="6" width="18.140625" style="82" bestFit="1" customWidth="1"/>
    <col min="7" max="8" width="9.5703125" style="82" hidden="1" customWidth="1"/>
    <col min="9" max="18" width="6.28515625" style="82" hidden="1" customWidth="1"/>
    <col min="19" max="19" width="8.28515625" style="82" customWidth="1"/>
    <col min="20" max="16384" width="44" style="82" hidden="1"/>
  </cols>
  <sheetData>
    <row r="1" spans="2:19" x14ac:dyDescent="0.2">
      <c r="B1" s="296" t="str">
        <f>balance!B1</f>
        <v>PROYECTO E-VISTETIC S.A.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</row>
    <row r="2" spans="2:19" x14ac:dyDescent="0.2">
      <c r="B2" s="296" t="s">
        <v>254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2:19" ht="13.5" thickBot="1" x14ac:dyDescent="0.25">
      <c r="B3" s="293" t="str">
        <f>IF(Inicio!$F$13="Años","En Años","En Meses")</f>
        <v>En Años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</row>
    <row r="4" spans="2:19" ht="14.25" thickTop="1" thickBot="1" x14ac:dyDescent="0.25">
      <c r="B4" s="253" t="s">
        <v>6</v>
      </c>
      <c r="C4" s="254">
        <v>0</v>
      </c>
      <c r="D4" s="253">
        <v>1</v>
      </c>
      <c r="E4" s="253">
        <v>2</v>
      </c>
      <c r="F4" s="253">
        <v>3</v>
      </c>
      <c r="G4" s="253">
        <v>4</v>
      </c>
      <c r="H4" s="253">
        <v>5</v>
      </c>
      <c r="I4" s="253">
        <v>6</v>
      </c>
      <c r="J4" s="253">
        <v>7</v>
      </c>
      <c r="K4" s="253">
        <v>8</v>
      </c>
      <c r="L4" s="253">
        <v>9</v>
      </c>
      <c r="M4" s="253">
        <v>10</v>
      </c>
      <c r="N4" s="253">
        <v>11</v>
      </c>
      <c r="O4" s="253">
        <v>12</v>
      </c>
      <c r="P4" s="253">
        <v>13</v>
      </c>
      <c r="Q4" s="253">
        <v>14</v>
      </c>
      <c r="R4" s="253">
        <v>15</v>
      </c>
      <c r="S4" s="255"/>
    </row>
    <row r="5" spans="2:19" ht="14.25" thickTop="1" thickBot="1" x14ac:dyDescent="0.25"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5"/>
    </row>
    <row r="6" spans="2:19" ht="14.25" thickTop="1" thickBot="1" x14ac:dyDescent="0.25">
      <c r="B6" s="256" t="s">
        <v>9</v>
      </c>
      <c r="C6" s="257"/>
      <c r="D6" s="257">
        <f>+'p y g proyectado'!C7-'presupuesto compras y ventas'!C46</f>
        <v>1250060000</v>
      </c>
      <c r="E6" s="257">
        <f>+'p y g proyectado'!D7-'presupuesto compras y ventas'!D46+'presupuesto compras y ventas'!C46</f>
        <v>2834684025</v>
      </c>
      <c r="F6" s="257">
        <f>+'p y g proyectado'!E7-'presupuesto compras y ventas'!E46+'presupuesto compras y ventas'!D46</f>
        <v>4693399200</v>
      </c>
      <c r="G6" s="257">
        <f>+'p y g proyectado'!F7-'presupuesto compras y ventas'!F46+'presupuesto compras y ventas'!E46</f>
        <v>0</v>
      </c>
      <c r="H6" s="257">
        <f>+'p y g proyectado'!G7-'presupuesto compras y ventas'!G46+'presupuesto compras y ventas'!F46</f>
        <v>0</v>
      </c>
      <c r="I6" s="257">
        <f>+'p y g proyectado'!H7-'presupuesto compras y ventas'!H46+'presupuesto compras y ventas'!G46</f>
        <v>0</v>
      </c>
      <c r="J6" s="257">
        <f>+'p y g proyectado'!I7-'presupuesto compras y ventas'!I46+'presupuesto compras y ventas'!H46</f>
        <v>0</v>
      </c>
      <c r="K6" s="257">
        <f>+'p y g proyectado'!J7-'presupuesto compras y ventas'!J46+'presupuesto compras y ventas'!I46</f>
        <v>0</v>
      </c>
      <c r="L6" s="257">
        <f>+'p y g proyectado'!K7-'presupuesto compras y ventas'!K46+'presupuesto compras y ventas'!J46</f>
        <v>0</v>
      </c>
      <c r="M6" s="257">
        <f>+'p y g proyectado'!L7-'presupuesto compras y ventas'!L46+'presupuesto compras y ventas'!K46</f>
        <v>0</v>
      </c>
      <c r="N6" s="257">
        <f>+'p y g proyectado'!M7-'presupuesto compras y ventas'!M46+'presupuesto compras y ventas'!L46</f>
        <v>0</v>
      </c>
      <c r="O6" s="257">
        <f>+'p y g proyectado'!N7-'presupuesto compras y ventas'!N46+'presupuesto compras y ventas'!M46</f>
        <v>0</v>
      </c>
      <c r="P6" s="257">
        <f>+'p y g proyectado'!O7-'presupuesto compras y ventas'!O46+'presupuesto compras y ventas'!N46</f>
        <v>0</v>
      </c>
      <c r="Q6" s="257">
        <f>+'p y g proyectado'!P7-'presupuesto compras y ventas'!P46+'presupuesto compras y ventas'!O46</f>
        <v>0</v>
      </c>
      <c r="R6" s="257">
        <f>+'p y g proyectado'!Q7+'presupuesto compras y ventas'!P46</f>
        <v>0</v>
      </c>
      <c r="S6" s="255"/>
    </row>
    <row r="7" spans="2:19" ht="14.25" thickTop="1" thickBot="1" x14ac:dyDescent="0.25">
      <c r="B7" s="258" t="s">
        <v>299</v>
      </c>
      <c r="C7" s="258"/>
      <c r="D7" s="258">
        <f>+'presupuesto compras y ventas'!C9</f>
        <v>719400800</v>
      </c>
      <c r="E7" s="258">
        <f>+'presupuesto compras y ventas'!D9</f>
        <v>885465999</v>
      </c>
      <c r="F7" s="258">
        <f>+'presupuesto compras y ventas'!E9</f>
        <v>944570534.22000003</v>
      </c>
      <c r="G7" s="258">
        <f>+'presupuesto compras y ventas'!F9</f>
        <v>0</v>
      </c>
      <c r="H7" s="258">
        <f>+'presupuesto compras y ventas'!G9</f>
        <v>0</v>
      </c>
      <c r="I7" s="256">
        <f>+'presupuesto compras y ventas'!H9</f>
        <v>0</v>
      </c>
      <c r="J7" s="256">
        <f>+'presupuesto compras y ventas'!I9</f>
        <v>0</v>
      </c>
      <c r="K7" s="256">
        <f>+'presupuesto compras y ventas'!J9</f>
        <v>0</v>
      </c>
      <c r="L7" s="256">
        <f>+'presupuesto compras y ventas'!K9</f>
        <v>0</v>
      </c>
      <c r="M7" s="256">
        <f>+'presupuesto compras y ventas'!L9</f>
        <v>0</v>
      </c>
      <c r="N7" s="256">
        <f>+'presupuesto compras y ventas'!M9</f>
        <v>0</v>
      </c>
      <c r="O7" s="256">
        <f>+'presupuesto compras y ventas'!N9</f>
        <v>0</v>
      </c>
      <c r="P7" s="256">
        <f>+'presupuesto compras y ventas'!O9</f>
        <v>0</v>
      </c>
      <c r="Q7" s="256">
        <f>+'presupuesto compras y ventas'!P9</f>
        <v>0</v>
      </c>
      <c r="R7" s="256">
        <f>+'presupuesto compras y ventas'!Q9</f>
        <v>0</v>
      </c>
      <c r="S7" s="255"/>
    </row>
    <row r="8" spans="2:19" ht="14.25" thickTop="1" thickBot="1" x14ac:dyDescent="0.25">
      <c r="B8" s="258" t="s">
        <v>136</v>
      </c>
      <c r="C8" s="258"/>
      <c r="D8" s="258">
        <f>+'p y g proyectado'!C14+'p y g proyectado'!C23</f>
        <v>432656640</v>
      </c>
      <c r="E8" s="258">
        <f>+'p y g proyectado'!D14+'p y g proyectado'!D23</f>
        <v>445636339.19999999</v>
      </c>
      <c r="F8" s="258">
        <f>+'p y g proyectado'!E14+'p y g proyectado'!E23</f>
        <v>459005429.37599999</v>
      </c>
      <c r="G8" s="258">
        <f>+'p y g proyectado'!F14+'p y g proyectado'!F23</f>
        <v>0</v>
      </c>
      <c r="H8" s="258">
        <f>+'p y g proyectado'!G14+'p y g proyectado'!G23</f>
        <v>0</v>
      </c>
      <c r="I8" s="256">
        <f>+'p y g proyectado'!H14+'p y g proyectado'!H23</f>
        <v>0</v>
      </c>
      <c r="J8" s="256">
        <f>+'p y g proyectado'!I14+'p y g proyectado'!I23</f>
        <v>0</v>
      </c>
      <c r="K8" s="256">
        <f>+'p y g proyectado'!J14+'p y g proyectado'!J23</f>
        <v>0</v>
      </c>
      <c r="L8" s="256">
        <f>+'p y g proyectado'!K14+'p y g proyectado'!K23</f>
        <v>0</v>
      </c>
      <c r="M8" s="256">
        <f>+'p y g proyectado'!L14+'p y g proyectado'!L23</f>
        <v>0</v>
      </c>
      <c r="N8" s="256">
        <f>+'p y g proyectado'!M14+'p y g proyectado'!M23</f>
        <v>0</v>
      </c>
      <c r="O8" s="256">
        <f>+'p y g proyectado'!N14+'p y g proyectado'!N23</f>
        <v>0</v>
      </c>
      <c r="P8" s="256">
        <f>+'p y g proyectado'!O14+'p y g proyectado'!O23</f>
        <v>0</v>
      </c>
      <c r="Q8" s="256">
        <f>+'p y g proyectado'!P14+'p y g proyectado'!P23</f>
        <v>0</v>
      </c>
      <c r="R8" s="256">
        <f>+'p y g proyectado'!Q14+'p y g proyectado'!Q23</f>
        <v>0</v>
      </c>
      <c r="S8" s="255"/>
    </row>
    <row r="9" spans="2:19" ht="14.25" thickTop="1" thickBot="1" x14ac:dyDescent="0.25">
      <c r="B9" s="258" t="s">
        <v>152</v>
      </c>
      <c r="C9" s="258"/>
      <c r="D9" s="258">
        <f>+'p y g proyectado'!C16</f>
        <v>55000000</v>
      </c>
      <c r="E9" s="258">
        <f>+'p y g proyectado'!D16</f>
        <v>55000000</v>
      </c>
      <c r="F9" s="258">
        <f>+'p y g proyectado'!E16</f>
        <v>55000000</v>
      </c>
      <c r="G9" s="258">
        <f>+'p y g proyectado'!F16</f>
        <v>0</v>
      </c>
      <c r="H9" s="258">
        <f>+'p y g proyectado'!G16</f>
        <v>0</v>
      </c>
      <c r="I9" s="256">
        <f>+'p y g proyectado'!H16</f>
        <v>0</v>
      </c>
      <c r="J9" s="256">
        <f>+'p y g proyectado'!I16</f>
        <v>0</v>
      </c>
      <c r="K9" s="256">
        <f>+'p y g proyectado'!J16</f>
        <v>0</v>
      </c>
      <c r="L9" s="256">
        <f>+'p y g proyectado'!K16</f>
        <v>0</v>
      </c>
      <c r="M9" s="256">
        <f>+'p y g proyectado'!L16</f>
        <v>0</v>
      </c>
      <c r="N9" s="256">
        <f>+'p y g proyectado'!M16</f>
        <v>0</v>
      </c>
      <c r="O9" s="256">
        <f>+'p y g proyectado'!N16</f>
        <v>0</v>
      </c>
      <c r="P9" s="256">
        <f>+'p y g proyectado'!O16</f>
        <v>0</v>
      </c>
      <c r="Q9" s="256">
        <f>+'p y g proyectado'!P16</f>
        <v>0</v>
      </c>
      <c r="R9" s="256">
        <f>+'p y g proyectado'!Q16</f>
        <v>0</v>
      </c>
      <c r="S9" s="255"/>
    </row>
    <row r="10" spans="2:19" ht="14.25" thickTop="1" thickBot="1" x14ac:dyDescent="0.25">
      <c r="B10" s="258" t="s">
        <v>153</v>
      </c>
      <c r="C10" s="258"/>
      <c r="D10" s="258">
        <f>+'p y g proyectado'!C17</f>
        <v>22666666.666666668</v>
      </c>
      <c r="E10" s="258">
        <f>+'p y g proyectado'!D17</f>
        <v>22666666.666666668</v>
      </c>
      <c r="F10" s="258">
        <f>+'p y g proyectado'!E17</f>
        <v>22666666.666666668</v>
      </c>
      <c r="G10" s="258">
        <f>+'p y g proyectado'!F17</f>
        <v>0</v>
      </c>
      <c r="H10" s="258">
        <f>+'p y g proyectado'!G17</f>
        <v>0</v>
      </c>
      <c r="I10" s="256">
        <f>+'p y g proyectado'!H17</f>
        <v>0</v>
      </c>
      <c r="J10" s="256">
        <f>+'p y g proyectado'!I17</f>
        <v>0</v>
      </c>
      <c r="K10" s="256">
        <f>+'p y g proyectado'!J17</f>
        <v>0</v>
      </c>
      <c r="L10" s="256">
        <f>+'p y g proyectado'!K17</f>
        <v>0</v>
      </c>
      <c r="M10" s="256">
        <f>+'p y g proyectado'!L17</f>
        <v>0</v>
      </c>
      <c r="N10" s="256">
        <f>+'p y g proyectado'!M17</f>
        <v>0</v>
      </c>
      <c r="O10" s="256">
        <f>+'p y g proyectado'!N17</f>
        <v>0</v>
      </c>
      <c r="P10" s="256">
        <f>+'p y g proyectado'!O17</f>
        <v>0</v>
      </c>
      <c r="Q10" s="256">
        <f>+'p y g proyectado'!P17</f>
        <v>0</v>
      </c>
      <c r="R10" s="256">
        <f>+'p y g proyectado'!Q17</f>
        <v>0</v>
      </c>
      <c r="S10" s="255"/>
    </row>
    <row r="11" spans="2:19" ht="14.25" thickTop="1" thickBot="1" x14ac:dyDescent="0.25">
      <c r="B11" s="258" t="s">
        <v>34</v>
      </c>
      <c r="C11" s="258"/>
      <c r="D11" s="258">
        <f>+'p y g proyectado'!C18</f>
        <v>50295635.802739725</v>
      </c>
      <c r="E11" s="258">
        <f>+'p y g proyectado'!D18</f>
        <v>35956704.656788245</v>
      </c>
      <c r="F11" s="258">
        <f>+'p y g proyectado'!E18</f>
        <v>19314985.019960608</v>
      </c>
      <c r="G11" s="258">
        <f>+'p y g proyectado'!F18</f>
        <v>0</v>
      </c>
      <c r="H11" s="258">
        <f>+'p y g proyectado'!G18</f>
        <v>0</v>
      </c>
      <c r="I11" s="256">
        <f>+'p y g proyectado'!H18</f>
        <v>0</v>
      </c>
      <c r="J11" s="256">
        <f>+'p y g proyectado'!I18</f>
        <v>0</v>
      </c>
      <c r="K11" s="256">
        <f>+'p y g proyectado'!J18</f>
        <v>0</v>
      </c>
      <c r="L11" s="256">
        <f>+'p y g proyectado'!K18</f>
        <v>0</v>
      </c>
      <c r="M11" s="256">
        <f>+'p y g proyectado'!L18</f>
        <v>0</v>
      </c>
      <c r="N11" s="256">
        <f>+'p y g proyectado'!M18</f>
        <v>0</v>
      </c>
      <c r="O11" s="256">
        <f>+'p y g proyectado'!N18</f>
        <v>0</v>
      </c>
      <c r="P11" s="256">
        <f>+'p y g proyectado'!O18</f>
        <v>0</v>
      </c>
      <c r="Q11" s="256">
        <f>+'p y g proyectado'!P18</f>
        <v>0</v>
      </c>
      <c r="R11" s="256">
        <f>+'p y g proyectado'!Q18</f>
        <v>0</v>
      </c>
      <c r="S11" s="255"/>
    </row>
    <row r="12" spans="2:19" ht="14.25" thickTop="1" thickBot="1" x14ac:dyDescent="0.25">
      <c r="B12" s="259" t="s">
        <v>147</v>
      </c>
      <c r="C12" s="259"/>
      <c r="D12" s="259">
        <f>+D6-D7-D8-D9-D10-D11</f>
        <v>-29959742.469406392</v>
      </c>
      <c r="E12" s="259">
        <f>+E6-E7-E8-E9-E10-E11</f>
        <v>1389958315.4765449</v>
      </c>
      <c r="F12" s="259">
        <f>+F6-F7-F8-F9-F10-F11</f>
        <v>3192841584.7173729</v>
      </c>
      <c r="G12" s="259">
        <f>+G6-G7-G8-G9-G10-G11</f>
        <v>0</v>
      </c>
      <c r="H12" s="259">
        <f>+H6-H7-H8-H9-H10-H11</f>
        <v>0</v>
      </c>
      <c r="I12" s="259">
        <f t="shared" ref="I12:R12" si="0">+I6-I7-I8-I9-I10-I11</f>
        <v>0</v>
      </c>
      <c r="J12" s="259">
        <f t="shared" si="0"/>
        <v>0</v>
      </c>
      <c r="K12" s="259">
        <f t="shared" si="0"/>
        <v>0</v>
      </c>
      <c r="L12" s="259">
        <f t="shared" si="0"/>
        <v>0</v>
      </c>
      <c r="M12" s="259">
        <f t="shared" si="0"/>
        <v>0</v>
      </c>
      <c r="N12" s="259">
        <f t="shared" si="0"/>
        <v>0</v>
      </c>
      <c r="O12" s="259">
        <f t="shared" si="0"/>
        <v>0</v>
      </c>
      <c r="P12" s="259">
        <f t="shared" si="0"/>
        <v>0</v>
      </c>
      <c r="Q12" s="259">
        <f t="shared" si="0"/>
        <v>0</v>
      </c>
      <c r="R12" s="259">
        <f t="shared" si="0"/>
        <v>0</v>
      </c>
      <c r="S12" s="260"/>
    </row>
    <row r="13" spans="2:19" ht="14.25" thickTop="1" thickBot="1" x14ac:dyDescent="0.25">
      <c r="B13" s="258" t="s">
        <v>123</v>
      </c>
      <c r="C13" s="258"/>
      <c r="D13" s="258">
        <f>+'p y g proyectado'!C15+'p y g proyectado'!C24</f>
        <v>93960000</v>
      </c>
      <c r="E13" s="258">
        <f>+'p y g proyectado'!D15+'p y g proyectado'!D24</f>
        <v>96778800</v>
      </c>
      <c r="F13" s="258">
        <f>+'p y g proyectado'!E15+'p y g proyectado'!E24</f>
        <v>99682164</v>
      </c>
      <c r="G13" s="258" t="e">
        <f>+'p y g proyectado'!F15+'p y g proyectado'!F24</f>
        <v>#VALUE!</v>
      </c>
      <c r="H13" s="258" t="e">
        <f>+'p y g proyectado'!G15+'p y g proyectado'!G24</f>
        <v>#VALUE!</v>
      </c>
      <c r="I13" s="256">
        <f>+'p y g proyectado'!H15+'p y g proyectado'!H24</f>
        <v>0</v>
      </c>
      <c r="J13" s="256">
        <f>+'p y g proyectado'!I15+'p y g proyectado'!I24</f>
        <v>0</v>
      </c>
      <c r="K13" s="256">
        <f>+'p y g proyectado'!J15+'p y g proyectado'!J24</f>
        <v>0</v>
      </c>
      <c r="L13" s="256">
        <f>+'p y g proyectado'!K15+'p y g proyectado'!K24</f>
        <v>0</v>
      </c>
      <c r="M13" s="256">
        <f>+'p y g proyectado'!L15+'p y g proyectado'!L24</f>
        <v>0</v>
      </c>
      <c r="N13" s="256">
        <f>+'p y g proyectado'!M15+'p y g proyectado'!M24</f>
        <v>0</v>
      </c>
      <c r="O13" s="256">
        <f>+'p y g proyectado'!N15+'p y g proyectado'!N24</f>
        <v>0</v>
      </c>
      <c r="P13" s="256">
        <f>+'p y g proyectado'!O15+'p y g proyectado'!O24</f>
        <v>0</v>
      </c>
      <c r="Q13" s="256">
        <f>+'p y g proyectado'!P15+'p y g proyectado'!P24</f>
        <v>0</v>
      </c>
      <c r="R13" s="256">
        <f>+'p y g proyectado'!Q15+'p y g proyectado'!Q24</f>
        <v>0</v>
      </c>
      <c r="S13" s="255"/>
    </row>
    <row r="14" spans="2:19" ht="14.25" thickTop="1" thickBot="1" x14ac:dyDescent="0.25">
      <c r="B14" s="258" t="s">
        <v>131</v>
      </c>
      <c r="C14" s="258"/>
      <c r="D14" s="258">
        <f t="shared" ref="D14:R14" si="1">+D12-D13</f>
        <v>-123919742.4694064</v>
      </c>
      <c r="E14" s="258">
        <f t="shared" si="1"/>
        <v>1293179515.4765449</v>
      </c>
      <c r="F14" s="258">
        <f t="shared" si="1"/>
        <v>3093159420.7173729</v>
      </c>
      <c r="G14" s="258" t="e">
        <f t="shared" si="1"/>
        <v>#VALUE!</v>
      </c>
      <c r="H14" s="258" t="e">
        <f t="shared" si="1"/>
        <v>#VALUE!</v>
      </c>
      <c r="I14" s="256">
        <f t="shared" si="1"/>
        <v>0</v>
      </c>
      <c r="J14" s="256">
        <f t="shared" si="1"/>
        <v>0</v>
      </c>
      <c r="K14" s="256">
        <f t="shared" si="1"/>
        <v>0</v>
      </c>
      <c r="L14" s="256">
        <f t="shared" si="1"/>
        <v>0</v>
      </c>
      <c r="M14" s="256">
        <f t="shared" si="1"/>
        <v>0</v>
      </c>
      <c r="N14" s="256">
        <f t="shared" si="1"/>
        <v>0</v>
      </c>
      <c r="O14" s="256">
        <f t="shared" si="1"/>
        <v>0</v>
      </c>
      <c r="P14" s="256">
        <f t="shared" si="1"/>
        <v>0</v>
      </c>
      <c r="Q14" s="256">
        <f t="shared" si="1"/>
        <v>0</v>
      </c>
      <c r="R14" s="256">
        <f t="shared" si="1"/>
        <v>0</v>
      </c>
      <c r="S14" s="255"/>
    </row>
    <row r="15" spans="2:19" ht="14.25" thickTop="1" thickBot="1" x14ac:dyDescent="0.25">
      <c r="B15" s="258" t="s">
        <v>138</v>
      </c>
      <c r="C15" s="258"/>
      <c r="D15" s="258">
        <f>+'p y g proyectado'!C28</f>
        <v>144137090.13570777</v>
      </c>
      <c r="E15" s="258">
        <f>+'p y g proyectado'!D28</f>
        <v>609945434.16679072</v>
      </c>
      <c r="F15" s="258">
        <f>+'p y g proyectado'!E28</f>
        <v>737764193.50108027</v>
      </c>
      <c r="G15" s="258" t="e">
        <f>+'p y g proyectado'!F28</f>
        <v>#VALUE!</v>
      </c>
      <c r="H15" s="258" t="e">
        <f>+'p y g proyectado'!G28</f>
        <v>#VALUE!</v>
      </c>
      <c r="I15" s="256">
        <f>+'p y g proyectado'!H28</f>
        <v>0</v>
      </c>
      <c r="J15" s="256">
        <f>+'p y g proyectado'!I28</f>
        <v>0</v>
      </c>
      <c r="K15" s="256">
        <f>+'p y g proyectado'!J28</f>
        <v>0</v>
      </c>
      <c r="L15" s="256">
        <f>+'p y g proyectado'!K28</f>
        <v>0</v>
      </c>
      <c r="M15" s="256">
        <f>+'p y g proyectado'!L28</f>
        <v>0</v>
      </c>
      <c r="N15" s="256">
        <f>+'p y g proyectado'!M28</f>
        <v>0</v>
      </c>
      <c r="O15" s="256">
        <f>+'p y g proyectado'!N28</f>
        <v>0</v>
      </c>
      <c r="P15" s="256">
        <f>+'p y g proyectado'!O28</f>
        <v>0</v>
      </c>
      <c r="Q15" s="256">
        <f>+'p y g proyectado'!P28</f>
        <v>0</v>
      </c>
      <c r="R15" s="256">
        <f>+'p y g proyectado'!Q28</f>
        <v>0</v>
      </c>
      <c r="S15" s="255"/>
    </row>
    <row r="16" spans="2:19" ht="14.25" thickTop="1" thickBot="1" x14ac:dyDescent="0.25">
      <c r="B16" s="258" t="s">
        <v>139</v>
      </c>
      <c r="C16" s="258"/>
      <c r="D16" s="258">
        <v>0</v>
      </c>
      <c r="E16" s="258">
        <f>IF(E$4&lt;=Inicio!$D$13,+D15,0)</f>
        <v>144137090.13570777</v>
      </c>
      <c r="F16" s="258">
        <f>IF(F$4&lt;=Inicio!$D$13,+E15,0)</f>
        <v>609945434.16679072</v>
      </c>
      <c r="G16" s="258">
        <f>IF(G$4&lt;=Inicio!$D$13,+F15,0)</f>
        <v>0</v>
      </c>
      <c r="H16" s="258">
        <f>IF(H$4&lt;=Inicio!$D$13,+G15,0)</f>
        <v>0</v>
      </c>
      <c r="I16" s="256">
        <f>IF(I$4&lt;=Inicio!$D$13,+H15,0)</f>
        <v>0</v>
      </c>
      <c r="J16" s="256">
        <f>IF(J$4&lt;=Inicio!$D$13,+I15,0)</f>
        <v>0</v>
      </c>
      <c r="K16" s="256">
        <f>IF(K$4&lt;=Inicio!$D$13,+J15,0)</f>
        <v>0</v>
      </c>
      <c r="L16" s="256">
        <f>IF(L$4&lt;=Inicio!$D$13,+K15,0)</f>
        <v>0</v>
      </c>
      <c r="M16" s="256">
        <f>IF(M$4&lt;=Inicio!$D$13,+L15,0)</f>
        <v>0</v>
      </c>
      <c r="N16" s="256">
        <f>IF(N$4&lt;=Inicio!$D$13,+M15,0)</f>
        <v>0</v>
      </c>
      <c r="O16" s="256">
        <f>IF(O$4&lt;=Inicio!$D$13,+N15,0)</f>
        <v>0</v>
      </c>
      <c r="P16" s="256">
        <f>IF(P$4&lt;=Inicio!$D$13,+O15,0)</f>
        <v>0</v>
      </c>
      <c r="Q16" s="256">
        <f>IF(Q$4&lt;=Inicio!$D$13,+P15,0)</f>
        <v>0</v>
      </c>
      <c r="R16" s="256">
        <f>IF(R$4&lt;=Inicio!$D$13,+Q15,0)</f>
        <v>0</v>
      </c>
      <c r="S16" s="255"/>
    </row>
    <row r="17" spans="2:19" ht="14.25" thickTop="1" thickBot="1" x14ac:dyDescent="0.25">
      <c r="B17" s="259" t="s">
        <v>148</v>
      </c>
      <c r="C17" s="259"/>
      <c r="D17" s="259">
        <f t="shared" ref="D17:R17" si="2">+D14-D15</f>
        <v>-268056832.60511416</v>
      </c>
      <c r="E17" s="259">
        <f t="shared" si="2"/>
        <v>683234081.30975413</v>
      </c>
      <c r="F17" s="259">
        <f t="shared" si="2"/>
        <v>2355395227.2162924</v>
      </c>
      <c r="G17" s="259" t="e">
        <f t="shared" si="2"/>
        <v>#VALUE!</v>
      </c>
      <c r="H17" s="259" t="e">
        <f t="shared" si="2"/>
        <v>#VALUE!</v>
      </c>
      <c r="I17" s="259">
        <f t="shared" si="2"/>
        <v>0</v>
      </c>
      <c r="J17" s="259">
        <f t="shared" si="2"/>
        <v>0</v>
      </c>
      <c r="K17" s="259">
        <f t="shared" si="2"/>
        <v>0</v>
      </c>
      <c r="L17" s="259">
        <f t="shared" si="2"/>
        <v>0</v>
      </c>
      <c r="M17" s="259">
        <f t="shared" si="2"/>
        <v>0</v>
      </c>
      <c r="N17" s="259">
        <f t="shared" si="2"/>
        <v>0</v>
      </c>
      <c r="O17" s="259">
        <f t="shared" si="2"/>
        <v>0</v>
      </c>
      <c r="P17" s="259">
        <f t="shared" si="2"/>
        <v>0</v>
      </c>
      <c r="Q17" s="259">
        <f t="shared" si="2"/>
        <v>0</v>
      </c>
      <c r="R17" s="259">
        <f t="shared" si="2"/>
        <v>0</v>
      </c>
      <c r="S17" s="260"/>
    </row>
    <row r="18" spans="2:19" ht="14.25" thickTop="1" thickBot="1" x14ac:dyDescent="0.25">
      <c r="B18" s="258" t="s">
        <v>154</v>
      </c>
      <c r="C18" s="258"/>
      <c r="D18" s="258">
        <f>+D9</f>
        <v>55000000</v>
      </c>
      <c r="E18" s="258">
        <f>+E9</f>
        <v>55000000</v>
      </c>
      <c r="F18" s="258">
        <f t="shared" ref="F18:R18" si="3">+F9</f>
        <v>55000000</v>
      </c>
      <c r="G18" s="258">
        <f t="shared" si="3"/>
        <v>0</v>
      </c>
      <c r="H18" s="258">
        <f t="shared" si="3"/>
        <v>0</v>
      </c>
      <c r="I18" s="256">
        <f t="shared" si="3"/>
        <v>0</v>
      </c>
      <c r="J18" s="256">
        <f t="shared" si="3"/>
        <v>0</v>
      </c>
      <c r="K18" s="256">
        <f t="shared" si="3"/>
        <v>0</v>
      </c>
      <c r="L18" s="256">
        <f t="shared" si="3"/>
        <v>0</v>
      </c>
      <c r="M18" s="256">
        <f t="shared" si="3"/>
        <v>0</v>
      </c>
      <c r="N18" s="256">
        <f t="shared" si="3"/>
        <v>0</v>
      </c>
      <c r="O18" s="256">
        <f t="shared" si="3"/>
        <v>0</v>
      </c>
      <c r="P18" s="256">
        <f t="shared" si="3"/>
        <v>0</v>
      </c>
      <c r="Q18" s="256">
        <f t="shared" si="3"/>
        <v>0</v>
      </c>
      <c r="R18" s="256">
        <f t="shared" si="3"/>
        <v>0</v>
      </c>
      <c r="S18" s="255"/>
    </row>
    <row r="19" spans="2:19" ht="14.25" thickTop="1" thickBot="1" x14ac:dyDescent="0.25">
      <c r="B19" s="258" t="s">
        <v>155</v>
      </c>
      <c r="C19" s="258"/>
      <c r="D19" s="258">
        <f>+D10</f>
        <v>22666666.666666668</v>
      </c>
      <c r="E19" s="258">
        <f>+E10</f>
        <v>22666666.666666668</v>
      </c>
      <c r="F19" s="258">
        <f t="shared" ref="F19:R19" si="4">+F10</f>
        <v>22666666.666666668</v>
      </c>
      <c r="G19" s="258">
        <f t="shared" si="4"/>
        <v>0</v>
      </c>
      <c r="H19" s="258">
        <f t="shared" si="4"/>
        <v>0</v>
      </c>
      <c r="I19" s="256">
        <f t="shared" si="4"/>
        <v>0</v>
      </c>
      <c r="J19" s="256">
        <f t="shared" si="4"/>
        <v>0</v>
      </c>
      <c r="K19" s="256">
        <f t="shared" si="4"/>
        <v>0</v>
      </c>
      <c r="L19" s="256">
        <f t="shared" si="4"/>
        <v>0</v>
      </c>
      <c r="M19" s="256">
        <f t="shared" si="4"/>
        <v>0</v>
      </c>
      <c r="N19" s="256">
        <f t="shared" si="4"/>
        <v>0</v>
      </c>
      <c r="O19" s="256">
        <f t="shared" si="4"/>
        <v>0</v>
      </c>
      <c r="P19" s="256">
        <f t="shared" si="4"/>
        <v>0</v>
      </c>
      <c r="Q19" s="256">
        <f t="shared" si="4"/>
        <v>0</v>
      </c>
      <c r="R19" s="256">
        <f t="shared" si="4"/>
        <v>0</v>
      </c>
      <c r="S19" s="255"/>
    </row>
    <row r="20" spans="2:19" ht="14.25" thickTop="1" thickBot="1" x14ac:dyDescent="0.25">
      <c r="B20" s="258" t="s">
        <v>141</v>
      </c>
      <c r="C20" s="258"/>
      <c r="D20" s="258">
        <f>+D15-D16</f>
        <v>144137090.13570777</v>
      </c>
      <c r="E20" s="258">
        <f>+E15-E16</f>
        <v>465808344.03108299</v>
      </c>
      <c r="F20" s="258">
        <f>+F15-F16</f>
        <v>127818759.33428955</v>
      </c>
      <c r="G20" s="258" t="e">
        <f>+G15-G16</f>
        <v>#VALUE!</v>
      </c>
      <c r="H20" s="258" t="e">
        <f>+H15-H16</f>
        <v>#VALUE!</v>
      </c>
      <c r="I20" s="256">
        <f t="shared" ref="I20:R20" si="5">+I15-I16</f>
        <v>0</v>
      </c>
      <c r="J20" s="256">
        <f t="shared" si="5"/>
        <v>0</v>
      </c>
      <c r="K20" s="256">
        <f t="shared" si="5"/>
        <v>0</v>
      </c>
      <c r="L20" s="256">
        <f t="shared" si="5"/>
        <v>0</v>
      </c>
      <c r="M20" s="256">
        <f t="shared" si="5"/>
        <v>0</v>
      </c>
      <c r="N20" s="256">
        <f t="shared" si="5"/>
        <v>0</v>
      </c>
      <c r="O20" s="256">
        <f t="shared" si="5"/>
        <v>0</v>
      </c>
      <c r="P20" s="256">
        <f t="shared" si="5"/>
        <v>0</v>
      </c>
      <c r="Q20" s="256">
        <f t="shared" si="5"/>
        <v>0</v>
      </c>
      <c r="R20" s="256">
        <f t="shared" si="5"/>
        <v>0</v>
      </c>
      <c r="S20" s="255"/>
    </row>
    <row r="21" spans="2:19" ht="14.25" thickTop="1" thickBot="1" x14ac:dyDescent="0.25">
      <c r="B21" s="258" t="s">
        <v>156</v>
      </c>
      <c r="C21" s="258"/>
      <c r="D21" s="258">
        <f>+D11</f>
        <v>50295635.802739725</v>
      </c>
      <c r="E21" s="258">
        <f>+E11</f>
        <v>35956704.656788245</v>
      </c>
      <c r="F21" s="258">
        <f>+F11</f>
        <v>19314985.019960608</v>
      </c>
      <c r="G21" s="258">
        <f>+G11</f>
        <v>0</v>
      </c>
      <c r="H21" s="258">
        <f>+H11</f>
        <v>0</v>
      </c>
      <c r="I21" s="256">
        <f t="shared" ref="I21:R21" si="6">+I11</f>
        <v>0</v>
      </c>
      <c r="J21" s="256">
        <f t="shared" si="6"/>
        <v>0</v>
      </c>
      <c r="K21" s="256">
        <f t="shared" si="6"/>
        <v>0</v>
      </c>
      <c r="L21" s="256">
        <f t="shared" si="6"/>
        <v>0</v>
      </c>
      <c r="M21" s="256">
        <f t="shared" si="6"/>
        <v>0</v>
      </c>
      <c r="N21" s="256">
        <f t="shared" si="6"/>
        <v>0</v>
      </c>
      <c r="O21" s="256">
        <f t="shared" si="6"/>
        <v>0</v>
      </c>
      <c r="P21" s="256">
        <f t="shared" si="6"/>
        <v>0</v>
      </c>
      <c r="Q21" s="256">
        <f t="shared" si="6"/>
        <v>0</v>
      </c>
      <c r="R21" s="256">
        <f t="shared" si="6"/>
        <v>0</v>
      </c>
      <c r="S21" s="255"/>
    </row>
    <row r="22" spans="2:19" ht="14.25" thickTop="1" thickBot="1" x14ac:dyDescent="0.25">
      <c r="B22" s="259" t="s">
        <v>142</v>
      </c>
      <c r="C22" s="259"/>
      <c r="D22" s="259">
        <f>SUM(D17:D21)</f>
        <v>4042559.9999999851</v>
      </c>
      <c r="E22" s="259">
        <f>SUM(E17:E21)</f>
        <v>1262665796.6642921</v>
      </c>
      <c r="F22" s="259">
        <f>SUM(F17:F21)</f>
        <v>2580195638.2372088</v>
      </c>
      <c r="G22" s="259" t="e">
        <f>SUM(G17:G21)</f>
        <v>#VALUE!</v>
      </c>
      <c r="H22" s="259" t="e">
        <f>SUM(H17:H21)</f>
        <v>#VALUE!</v>
      </c>
      <c r="I22" s="259">
        <f t="shared" ref="I22:R22" si="7">SUM(I17:I21)</f>
        <v>0</v>
      </c>
      <c r="J22" s="259">
        <f t="shared" si="7"/>
        <v>0</v>
      </c>
      <c r="K22" s="259">
        <f t="shared" si="7"/>
        <v>0</v>
      </c>
      <c r="L22" s="259">
        <f t="shared" si="7"/>
        <v>0</v>
      </c>
      <c r="M22" s="259">
        <f t="shared" si="7"/>
        <v>0</v>
      </c>
      <c r="N22" s="259">
        <f t="shared" si="7"/>
        <v>0</v>
      </c>
      <c r="O22" s="259">
        <f t="shared" si="7"/>
        <v>0</v>
      </c>
      <c r="P22" s="259">
        <f t="shared" si="7"/>
        <v>0</v>
      </c>
      <c r="Q22" s="259">
        <f t="shared" si="7"/>
        <v>0</v>
      </c>
      <c r="R22" s="259">
        <f t="shared" si="7"/>
        <v>0</v>
      </c>
      <c r="S22" s="260"/>
    </row>
    <row r="23" spans="2:19" ht="14.25" thickTop="1" thickBot="1" x14ac:dyDescent="0.25">
      <c r="B23" s="258" t="s">
        <v>157</v>
      </c>
      <c r="C23" s="258"/>
      <c r="D23" s="258"/>
      <c r="E23" s="258"/>
      <c r="F23" s="258"/>
      <c r="G23" s="258"/>
      <c r="H23" s="258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5"/>
    </row>
    <row r="24" spans="2:19" ht="14.25" thickTop="1" thickBot="1" x14ac:dyDescent="0.25">
      <c r="B24" s="258" t="s">
        <v>158</v>
      </c>
      <c r="C24" s="258">
        <v>0</v>
      </c>
      <c r="D24" s="258"/>
      <c r="E24" s="258"/>
      <c r="F24" s="258"/>
      <c r="G24" s="258"/>
      <c r="H24" s="258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5"/>
    </row>
    <row r="25" spans="2:19" ht="14.25" thickTop="1" thickBot="1" x14ac:dyDescent="0.25">
      <c r="B25" s="258" t="s">
        <v>143</v>
      </c>
      <c r="C25" s="258">
        <f>-'inversión inicial'!C19</f>
        <v>-400000000</v>
      </c>
      <c r="D25" s="258">
        <f>IF(D$4=Inicio!$D$13,+'inversión inicial'!$E$19,0)</f>
        <v>0</v>
      </c>
      <c r="E25" s="258">
        <f>IF(E$4=Inicio!$D$13,+'inversión inicial'!$E$19,0)</f>
        <v>0</v>
      </c>
      <c r="F25" s="258">
        <f>IF(F$4=Inicio!$D$13,+'inversión inicial'!$E$19,0)</f>
        <v>300000000</v>
      </c>
      <c r="G25" s="258">
        <f>IF(G$4=Inicio!$D$13,+'inversión inicial'!$E$19,0)</f>
        <v>0</v>
      </c>
      <c r="H25" s="258">
        <f>IF(H$4=Inicio!$D$13,+'inversión inicial'!$E$19,0)</f>
        <v>0</v>
      </c>
      <c r="I25" s="256">
        <f>IF(I$4=Inicio!$D$13,+'inversión inicial'!$E$19,0)</f>
        <v>0</v>
      </c>
      <c r="J25" s="256">
        <f>IF(J$4=Inicio!$D$13,+'inversión inicial'!$E$19,0)</f>
        <v>0</v>
      </c>
      <c r="K25" s="256">
        <f>IF(K$4=Inicio!$D$13,+'inversión inicial'!$E$19,0)</f>
        <v>0</v>
      </c>
      <c r="L25" s="256">
        <f>IF(L$4=Inicio!$D$13,+'inversión inicial'!$E$19,0)</f>
        <v>0</v>
      </c>
      <c r="M25" s="256">
        <f>IF(M$4=Inicio!$D$13,+'inversión inicial'!$E$19,0)</f>
        <v>0</v>
      </c>
      <c r="N25" s="256">
        <f>IF(N$4=Inicio!$D$13,+'inversión inicial'!$E$19,0)</f>
        <v>0</v>
      </c>
      <c r="O25" s="256">
        <f>IF(O$4=Inicio!$D$13,+'inversión inicial'!$E$19,0)</f>
        <v>0</v>
      </c>
      <c r="P25" s="256">
        <f>IF(P$4=Inicio!$D$13,+'inversión inicial'!$E$19,0)</f>
        <v>0</v>
      </c>
      <c r="Q25" s="256">
        <f>IF(Q$4=Inicio!$D$13,+'inversión inicial'!$E$19,0)</f>
        <v>0</v>
      </c>
      <c r="R25" s="256">
        <f>IF(R$4=Inicio!$D$13,+'inversión inicial'!$E$19,0)</f>
        <v>0</v>
      </c>
      <c r="S25" s="255"/>
    </row>
    <row r="26" spans="2:19" ht="14.25" thickTop="1" thickBot="1" x14ac:dyDescent="0.25">
      <c r="B26" s="258" t="s">
        <v>144</v>
      </c>
      <c r="C26" s="258">
        <f>-'inversión inicial'!C20</f>
        <v>-68000000</v>
      </c>
      <c r="D26" s="258">
        <f>IF(D$4=Inicio!$D$13,+'inversión inicial'!$E$20,0)</f>
        <v>0</v>
      </c>
      <c r="E26" s="258">
        <f>IF(E$4=Inicio!$D$13,+'inversión inicial'!$E$20,0)</f>
        <v>0</v>
      </c>
      <c r="F26" s="258">
        <f>IF(F$4=Inicio!$D$13,+'inversión inicial'!$E$20,0)</f>
        <v>51000000</v>
      </c>
      <c r="G26" s="258">
        <f>IF(G$4=Inicio!$D$13,+'inversión inicial'!$E$20,0)</f>
        <v>0</v>
      </c>
      <c r="H26" s="258">
        <f>IF(H$4=Inicio!$D$13,+'inversión inicial'!$E$20,0)</f>
        <v>0</v>
      </c>
      <c r="I26" s="256">
        <f>IF(I$4=Inicio!$D$13,+'inversión inicial'!$E$20,0)</f>
        <v>0</v>
      </c>
      <c r="J26" s="256">
        <f>IF(J$4=Inicio!$D$13,+'inversión inicial'!$E$20,0)</f>
        <v>0</v>
      </c>
      <c r="K26" s="256">
        <f>IF(K$4=Inicio!$D$13,+'inversión inicial'!$E$20,0)</f>
        <v>0</v>
      </c>
      <c r="L26" s="256">
        <f>IF(L$4=Inicio!$D$13,+'inversión inicial'!$E$20,0)</f>
        <v>0</v>
      </c>
      <c r="M26" s="256">
        <f>IF(M$4=Inicio!$D$13,+'inversión inicial'!$E$20,0)</f>
        <v>0</v>
      </c>
      <c r="N26" s="256">
        <f>IF(N$4=Inicio!$D$13,+'inversión inicial'!$E$20,0)</f>
        <v>0</v>
      </c>
      <c r="O26" s="256">
        <f>IF(O$4=Inicio!$D$13,+'inversión inicial'!$E$20,0)</f>
        <v>0</v>
      </c>
      <c r="P26" s="256">
        <f>IF(P$4=Inicio!$D$13,+'inversión inicial'!$E$20,0)</f>
        <v>0</v>
      </c>
      <c r="Q26" s="256">
        <f>IF(Q$4=Inicio!$D$13,+'inversión inicial'!$E$20,0)</f>
        <v>0</v>
      </c>
      <c r="R26" s="256">
        <f>IF(R$4=Inicio!$D$13,+'inversión inicial'!$E$20,0)</f>
        <v>0</v>
      </c>
      <c r="S26" s="255"/>
    </row>
    <row r="27" spans="2:19" ht="14.25" thickTop="1" thickBot="1" x14ac:dyDescent="0.25">
      <c r="B27" s="258" t="s">
        <v>207</v>
      </c>
      <c r="C27" s="258">
        <f>-'inversión inicial'!C21</f>
        <v>-272120547.94520545</v>
      </c>
      <c r="D27" s="258">
        <f>IF(D$4=Inicio!$D$13,+'inversión inicial'!$E$21,)</f>
        <v>0</v>
      </c>
      <c r="E27" s="258">
        <f>IF(E$4=Inicio!$D$13,+'inversión inicial'!$E$21,)</f>
        <v>0</v>
      </c>
      <c r="F27" s="258">
        <f>IF(F$4=Inicio!$D$13,+'inversión inicial'!$E$21,)</f>
        <v>272120547.94520545</v>
      </c>
      <c r="G27" s="258">
        <f>IF(G$4=Inicio!$D$13,+'inversión inicial'!$E$21,)</f>
        <v>0</v>
      </c>
      <c r="H27" s="258">
        <f>IF(H$4=Inicio!$D$13,+'inversión inicial'!$E$21,)</f>
        <v>0</v>
      </c>
      <c r="I27" s="256">
        <f>IF(I$4=Inicio!$D$13,+'inversión inicial'!$E$21,)</f>
        <v>0</v>
      </c>
      <c r="J27" s="256">
        <f>IF(J$4=Inicio!$D$13,+'inversión inicial'!$E$21,)</f>
        <v>0</v>
      </c>
      <c r="K27" s="256">
        <f>IF(K$4=Inicio!$D$13,+'inversión inicial'!$E$21,)</f>
        <v>0</v>
      </c>
      <c r="L27" s="256">
        <f>IF(L$4=Inicio!$D$13,+'inversión inicial'!$E$21,)</f>
        <v>0</v>
      </c>
      <c r="M27" s="256">
        <f>IF(M$4=Inicio!$D$13,+'inversión inicial'!$E$21,)</f>
        <v>0</v>
      </c>
      <c r="N27" s="256">
        <f>IF(N$4=Inicio!$D$13,+'inversión inicial'!$E$21,)</f>
        <v>0</v>
      </c>
      <c r="O27" s="256">
        <f>IF(O$4=Inicio!$D$13,+'inversión inicial'!$E$21,)</f>
        <v>0</v>
      </c>
      <c r="P27" s="256">
        <f>IF(P$4=Inicio!$D$13,+'inversión inicial'!$E$21,)</f>
        <v>0</v>
      </c>
      <c r="Q27" s="256">
        <f>IF(Q$4=Inicio!$D$13,+'inversión inicial'!$E$21,)</f>
        <v>0</v>
      </c>
      <c r="R27" s="256">
        <f>IF(R$4=Inicio!$D$13,+'inversión inicial'!$E$21,)</f>
        <v>0</v>
      </c>
      <c r="S27" s="255"/>
    </row>
    <row r="28" spans="2:19" ht="14.25" thickTop="1" thickBot="1" x14ac:dyDescent="0.25">
      <c r="B28" s="258" t="s">
        <v>206</v>
      </c>
      <c r="C28" s="258">
        <f>-'inversión inicial'!C22</f>
        <v>-44033424.657534242</v>
      </c>
      <c r="D28" s="258">
        <f>IF(D$4=Inicio!$D$13,+'inversión inicial'!$E$22,)</f>
        <v>0</v>
      </c>
      <c r="E28" s="258">
        <f>IF(E$4=Inicio!$D$13,+'inversión inicial'!$E$22,)</f>
        <v>0</v>
      </c>
      <c r="F28" s="258">
        <f>IF(F$4=Inicio!$D$13,+'inversión inicial'!$E$22,)</f>
        <v>44033424.657534242</v>
      </c>
      <c r="G28" s="258">
        <f>IF(G$4=Inicio!$D$13,+'inversión inicial'!$E$22,)</f>
        <v>0</v>
      </c>
      <c r="H28" s="258">
        <f>IF(H$4=Inicio!$D$13,+'inversión inicial'!$E$22,)</f>
        <v>0</v>
      </c>
      <c r="I28" s="256">
        <f>IF(I$4=Inicio!$D$13,+'inversión inicial'!$E$22,)</f>
        <v>0</v>
      </c>
      <c r="J28" s="256">
        <f>IF(J$4=Inicio!$D$13,+'inversión inicial'!$E$22,)</f>
        <v>0</v>
      </c>
      <c r="K28" s="256">
        <f>IF(K$4=Inicio!$D$13,+'inversión inicial'!$E$22,)</f>
        <v>0</v>
      </c>
      <c r="L28" s="256">
        <f>IF(L$4=Inicio!$D$13,+'inversión inicial'!$E$22,)</f>
        <v>0</v>
      </c>
      <c r="M28" s="256">
        <f>IF(M$4=Inicio!$D$13,+'inversión inicial'!$E$22,)</f>
        <v>0</v>
      </c>
      <c r="N28" s="256">
        <f>IF(N$4=Inicio!$D$13,+'inversión inicial'!$E$22,)</f>
        <v>0</v>
      </c>
      <c r="O28" s="256">
        <f>IF(O$4=Inicio!$D$13,+'inversión inicial'!$E$22,)</f>
        <v>0</v>
      </c>
      <c r="P28" s="256">
        <f>IF(P$4=Inicio!$D$13,+'inversión inicial'!$E$22,)</f>
        <v>0</v>
      </c>
      <c r="Q28" s="256">
        <f>IF(Q$4=Inicio!$D$13,+'inversión inicial'!$E$22,)</f>
        <v>0</v>
      </c>
      <c r="R28" s="256">
        <f>IF(R$4=Inicio!$D$13,+'inversión inicial'!$E$22,)</f>
        <v>0</v>
      </c>
      <c r="S28" s="255"/>
    </row>
    <row r="29" spans="2:19" ht="14.25" thickTop="1" thickBot="1" x14ac:dyDescent="0.25">
      <c r="B29" s="258" t="s">
        <v>145</v>
      </c>
      <c r="C29" s="258">
        <f>SUM(C25:C28)+C24</f>
        <v>-784153972.60273969</v>
      </c>
      <c r="D29" s="258"/>
      <c r="E29" s="258"/>
      <c r="F29" s="258"/>
      <c r="G29" s="258"/>
      <c r="H29" s="258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5"/>
    </row>
    <row r="30" spans="2:19" ht="14.25" thickTop="1" thickBot="1" x14ac:dyDescent="0.25">
      <c r="B30" s="258" t="s">
        <v>159</v>
      </c>
      <c r="C30" s="258">
        <v>0</v>
      </c>
      <c r="D30" s="258">
        <f>+financiación!D8+financiación!D17+financiación!D26</f>
        <v>89447335.704121798</v>
      </c>
      <c r="E30" s="258">
        <f>+financiación!E8+financiación!E17+financiación!E26</f>
        <v>103786266.85007328</v>
      </c>
      <c r="F30" s="258">
        <f>+financiación!F8+financiación!F17+financiación!F26</f>
        <v>120427986.48690091</v>
      </c>
      <c r="G30" s="258">
        <f>+financiación!G8+financiación!G17+financiación!G26</f>
        <v>0</v>
      </c>
      <c r="H30" s="258">
        <f>+financiación!H8+financiación!H17+financiación!H26</f>
        <v>0</v>
      </c>
      <c r="I30" s="256">
        <f>+financiación!I8+financiación!I17+financiación!I26</f>
        <v>0</v>
      </c>
      <c r="J30" s="256">
        <f>+financiación!J8+financiación!J17+financiación!J26</f>
        <v>0</v>
      </c>
      <c r="K30" s="256">
        <f>+financiación!K8+financiación!K17+financiación!K26</f>
        <v>0</v>
      </c>
      <c r="L30" s="256">
        <f>+financiación!L8+financiación!L17+financiación!L26</f>
        <v>0</v>
      </c>
      <c r="M30" s="256">
        <f>+financiación!M8+financiación!M17+financiación!M26</f>
        <v>0</v>
      </c>
      <c r="N30" s="256">
        <f>+financiación!N8+financiación!N17+financiación!N26</f>
        <v>0</v>
      </c>
      <c r="O30" s="256">
        <f>+financiación!O8+financiación!O17+financiación!O26</f>
        <v>0</v>
      </c>
      <c r="P30" s="256">
        <f>+financiación!P8+financiación!P17+financiación!P26</f>
        <v>0</v>
      </c>
      <c r="Q30" s="256">
        <f>+financiación!Q8+financiación!Q17+financiación!Q26</f>
        <v>0</v>
      </c>
      <c r="R30" s="256">
        <f>+financiación!R8+financiación!R17+financiación!R26</f>
        <v>0</v>
      </c>
      <c r="S30" s="255"/>
    </row>
    <row r="31" spans="2:19" ht="14.25" thickTop="1" thickBot="1" x14ac:dyDescent="0.25">
      <c r="B31" s="258"/>
      <c r="C31" s="258"/>
      <c r="D31" s="258"/>
      <c r="E31" s="258"/>
      <c r="F31" s="258"/>
      <c r="G31" s="258"/>
      <c r="H31" s="258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5"/>
    </row>
    <row r="32" spans="2:19" ht="14.25" thickTop="1" thickBot="1" x14ac:dyDescent="0.25">
      <c r="B32" s="259" t="s">
        <v>291</v>
      </c>
      <c r="C32" s="261">
        <f>+C29</f>
        <v>-784153972.60273969</v>
      </c>
      <c r="D32" s="261">
        <f>+D22-D30</f>
        <v>-85404775.704121813</v>
      </c>
      <c r="E32" s="261">
        <f>+E22-E30</f>
        <v>1158879529.8142188</v>
      </c>
      <c r="F32" s="261">
        <f>+F22-F30</f>
        <v>2459767651.750308</v>
      </c>
      <c r="G32" s="261" t="e">
        <f>+G22-G30</f>
        <v>#VALUE!</v>
      </c>
      <c r="H32" s="261" t="e">
        <f t="shared" ref="H32:R32" si="8">+H22-H30+H27+H25</f>
        <v>#VALUE!</v>
      </c>
      <c r="I32" s="259">
        <f t="shared" si="8"/>
        <v>0</v>
      </c>
      <c r="J32" s="259">
        <f t="shared" si="8"/>
        <v>0</v>
      </c>
      <c r="K32" s="259">
        <f t="shared" si="8"/>
        <v>0</v>
      </c>
      <c r="L32" s="259">
        <f t="shared" si="8"/>
        <v>0</v>
      </c>
      <c r="M32" s="259">
        <f t="shared" si="8"/>
        <v>0</v>
      </c>
      <c r="N32" s="259">
        <f t="shared" si="8"/>
        <v>0</v>
      </c>
      <c r="O32" s="259">
        <f t="shared" si="8"/>
        <v>0</v>
      </c>
      <c r="P32" s="259">
        <f t="shared" si="8"/>
        <v>0</v>
      </c>
      <c r="Q32" s="259">
        <f t="shared" si="8"/>
        <v>0</v>
      </c>
      <c r="R32" s="259">
        <f t="shared" si="8"/>
        <v>0</v>
      </c>
      <c r="S32" s="260"/>
    </row>
    <row r="33" spans="2:19" ht="13.5" thickTop="1" x14ac:dyDescent="0.2">
      <c r="B33" s="262"/>
      <c r="C33" s="262"/>
      <c r="D33" s="262"/>
      <c r="E33" s="262"/>
      <c r="F33" s="262"/>
      <c r="G33" s="262"/>
      <c r="H33" s="262"/>
      <c r="I33" s="263"/>
      <c r="J33" s="263"/>
      <c r="K33" s="255"/>
      <c r="L33" s="255"/>
      <c r="M33" s="255"/>
      <c r="N33" s="255"/>
      <c r="O33" s="255"/>
      <c r="P33" s="255"/>
      <c r="Q33" s="255"/>
      <c r="R33" s="255"/>
      <c r="S33" s="255"/>
    </row>
    <row r="34" spans="2:19" ht="13.5" thickBot="1" x14ac:dyDescent="0.25">
      <c r="B34" s="262"/>
      <c r="C34" s="262"/>
      <c r="D34" s="262"/>
      <c r="E34" s="262"/>
      <c r="F34" s="262"/>
      <c r="G34" s="262"/>
      <c r="H34" s="262"/>
      <c r="I34" s="263"/>
      <c r="J34" s="263"/>
      <c r="K34" s="255"/>
      <c r="L34" s="255"/>
      <c r="M34" s="255"/>
      <c r="N34" s="255"/>
      <c r="O34" s="255"/>
      <c r="P34" s="255"/>
      <c r="Q34" s="255"/>
      <c r="R34" s="255"/>
      <c r="S34" s="255"/>
    </row>
    <row r="35" spans="2:19" ht="14.25" thickTop="1" thickBot="1" x14ac:dyDescent="0.25">
      <c r="B35" s="328" t="s">
        <v>37</v>
      </c>
      <c r="C35" s="329"/>
      <c r="D35" s="262"/>
      <c r="E35" s="262"/>
      <c r="F35" s="262"/>
      <c r="G35" s="262"/>
      <c r="H35" s="262"/>
      <c r="I35" s="263"/>
      <c r="J35" s="263"/>
      <c r="K35" s="255"/>
      <c r="L35" s="255"/>
      <c r="M35" s="255"/>
      <c r="N35" s="255"/>
      <c r="O35" s="255"/>
      <c r="P35" s="255"/>
      <c r="Q35" s="255"/>
      <c r="R35" s="255"/>
      <c r="S35" s="255"/>
    </row>
    <row r="36" spans="2:19" ht="14.25" thickTop="1" thickBot="1" x14ac:dyDescent="0.25">
      <c r="B36" s="256" t="s">
        <v>5</v>
      </c>
      <c r="C36" s="264">
        <f>+IRR(C32:F32)</f>
        <v>0.75372312957299092</v>
      </c>
      <c r="D36" s="263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</row>
    <row r="37" spans="2:19" ht="14.25" thickTop="1" thickBot="1" x14ac:dyDescent="0.25">
      <c r="B37" s="256" t="s">
        <v>257</v>
      </c>
      <c r="C37" s="264">
        <f>+MIRR(C32:F32,0.2,C39)</f>
        <v>0.65941415643818324</v>
      </c>
      <c r="D37" s="263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</row>
    <row r="38" spans="2:19" ht="14.25" thickTop="1" thickBot="1" x14ac:dyDescent="0.25">
      <c r="B38" s="256" t="s">
        <v>3</v>
      </c>
      <c r="C38" s="261">
        <f>+C32+D32/(1+C39)+E32/POWER(1+C39,2)+F32/POWER(1+C39,3)</f>
        <v>1148606143.6112206</v>
      </c>
      <c r="D38" s="263" t="s">
        <v>0</v>
      </c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</row>
    <row r="39" spans="2:19" ht="14.25" thickTop="1" thickBot="1" x14ac:dyDescent="0.25">
      <c r="B39" s="256" t="s">
        <v>4</v>
      </c>
      <c r="C39" s="264">
        <f>Inicio!D12</f>
        <v>0.25</v>
      </c>
      <c r="D39" s="263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</row>
    <row r="40" spans="2:19" ht="14.25" thickTop="1" thickBot="1" x14ac:dyDescent="0.25">
      <c r="B40" s="256" t="s">
        <v>17</v>
      </c>
      <c r="C40" s="265">
        <f>+C46/-C47</f>
        <v>2.3473736827154004</v>
      </c>
      <c r="D40" s="263" t="s">
        <v>0</v>
      </c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</row>
    <row r="41" spans="2:19" ht="14.25" thickTop="1" thickBot="1" x14ac:dyDescent="0.25">
      <c r="B41" s="256" t="s">
        <v>104</v>
      </c>
      <c r="C41" s="261">
        <f>(+D8+D9+D10+D11+D13)/(1-(D7/'presupuesto compras y ventas'!C41))</f>
        <v>1096162746.0540724</v>
      </c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</row>
    <row r="42" spans="2:19" ht="13.5" thickTop="1" x14ac:dyDescent="0.2">
      <c r="B42" s="82" t="s">
        <v>0</v>
      </c>
    </row>
    <row r="43" spans="2:19" ht="13.5" hidden="1" thickBot="1" x14ac:dyDescent="0.25">
      <c r="B43" s="266" t="s">
        <v>92</v>
      </c>
    </row>
    <row r="44" spans="2:19" ht="13.5" hidden="1" thickBot="1" x14ac:dyDescent="0.25">
      <c r="B44" s="266" t="s">
        <v>93</v>
      </c>
      <c r="C44" s="267">
        <f>IF(C32&gt;=0,C32,0)</f>
        <v>0</v>
      </c>
      <c r="D44" s="268">
        <f t="shared" ref="D44:R44" si="9">IF(D32&gt;=0,D32,0)</f>
        <v>0</v>
      </c>
      <c r="E44" s="268">
        <f t="shared" si="9"/>
        <v>1158879529.8142188</v>
      </c>
      <c r="F44" s="268">
        <f t="shared" si="9"/>
        <v>2459767651.750308</v>
      </c>
      <c r="G44" s="268" t="e">
        <f t="shared" si="9"/>
        <v>#VALUE!</v>
      </c>
      <c r="H44" s="268" t="e">
        <f t="shared" si="9"/>
        <v>#VALUE!</v>
      </c>
      <c r="I44" s="268">
        <f t="shared" si="9"/>
        <v>0</v>
      </c>
      <c r="J44" s="268">
        <f t="shared" si="9"/>
        <v>0</v>
      </c>
      <c r="K44" s="268">
        <f t="shared" si="9"/>
        <v>0</v>
      </c>
      <c r="L44" s="268">
        <f t="shared" si="9"/>
        <v>0</v>
      </c>
      <c r="M44" s="268">
        <f t="shared" si="9"/>
        <v>0</v>
      </c>
      <c r="N44" s="268">
        <f t="shared" si="9"/>
        <v>0</v>
      </c>
      <c r="O44" s="268">
        <f t="shared" si="9"/>
        <v>0</v>
      </c>
      <c r="P44" s="268">
        <f t="shared" si="9"/>
        <v>0</v>
      </c>
      <c r="Q44" s="268">
        <f t="shared" si="9"/>
        <v>0</v>
      </c>
      <c r="R44" s="269">
        <f t="shared" si="9"/>
        <v>0</v>
      </c>
    </row>
    <row r="45" spans="2:19" ht="13.5" hidden="1" thickBot="1" x14ac:dyDescent="0.25">
      <c r="B45" s="266" t="s">
        <v>96</v>
      </c>
      <c r="C45" s="267">
        <f t="shared" ref="C45:R45" si="10">IF(C32&lt;0,C32,0)</f>
        <v>-784153972.60273969</v>
      </c>
      <c r="D45" s="268">
        <f t="shared" si="10"/>
        <v>-85404775.704121813</v>
      </c>
      <c r="E45" s="268">
        <f t="shared" si="10"/>
        <v>0</v>
      </c>
      <c r="F45" s="268">
        <f t="shared" si="10"/>
        <v>0</v>
      </c>
      <c r="G45" s="268" t="e">
        <f t="shared" si="10"/>
        <v>#VALUE!</v>
      </c>
      <c r="H45" s="268" t="e">
        <f t="shared" si="10"/>
        <v>#VALUE!</v>
      </c>
      <c r="I45" s="268">
        <f t="shared" si="10"/>
        <v>0</v>
      </c>
      <c r="J45" s="268">
        <f t="shared" si="10"/>
        <v>0</v>
      </c>
      <c r="K45" s="268">
        <f t="shared" si="10"/>
        <v>0</v>
      </c>
      <c r="L45" s="268">
        <f t="shared" si="10"/>
        <v>0</v>
      </c>
      <c r="M45" s="268">
        <f t="shared" si="10"/>
        <v>0</v>
      </c>
      <c r="N45" s="268">
        <f t="shared" si="10"/>
        <v>0</v>
      </c>
      <c r="O45" s="268">
        <f t="shared" si="10"/>
        <v>0</v>
      </c>
      <c r="P45" s="268">
        <f t="shared" si="10"/>
        <v>0</v>
      </c>
      <c r="Q45" s="268">
        <f t="shared" si="10"/>
        <v>0</v>
      </c>
      <c r="R45" s="269">
        <f t="shared" si="10"/>
        <v>0</v>
      </c>
    </row>
    <row r="46" spans="2:19" hidden="1" x14ac:dyDescent="0.2">
      <c r="B46" s="266" t="s">
        <v>94</v>
      </c>
      <c r="C46" s="270">
        <f>+C44+D44/(1+C39)+E44/POWER(1+C39,2)+F44/POWER(1+C39,3)</f>
        <v>2001083936.7772577</v>
      </c>
    </row>
    <row r="47" spans="2:19" hidden="1" x14ac:dyDescent="0.2">
      <c r="B47" s="266" t="s">
        <v>95</v>
      </c>
      <c r="C47" s="271">
        <f>+C45+D45/(1+C39)+E45/POWER(1+C39,2)+F45/POWER(1+C39,3)</f>
        <v>-852477793.16603708</v>
      </c>
    </row>
    <row r="48" spans="2:19" hidden="1" x14ac:dyDescent="0.2">
      <c r="B48" s="266" t="s">
        <v>102</v>
      </c>
      <c r="C48" s="271">
        <f>+C44*POWER(1+C39,(C49-0))+D44*POWER(1+C39,(C49-1))</f>
        <v>0</v>
      </c>
    </row>
    <row r="49" spans="2:3" ht="13.5" hidden="1" thickBot="1" x14ac:dyDescent="0.25">
      <c r="B49" s="266" t="s">
        <v>103</v>
      </c>
      <c r="C49" s="272">
        <f>Inicio!D13</f>
        <v>3</v>
      </c>
    </row>
    <row r="50" spans="2:3" hidden="1" x14ac:dyDescent="0.2"/>
    <row r="51" spans="2:3" hidden="1" x14ac:dyDescent="0.2"/>
    <row r="52" spans="2:3" hidden="1" x14ac:dyDescent="0.2"/>
    <row r="53" spans="2:3" hidden="1" x14ac:dyDescent="0.2"/>
    <row r="54" spans="2:3" hidden="1" x14ac:dyDescent="0.2"/>
    <row r="55" spans="2:3" hidden="1" x14ac:dyDescent="0.2"/>
    <row r="56" spans="2:3" hidden="1" x14ac:dyDescent="0.2"/>
    <row r="57" spans="2:3" hidden="1" x14ac:dyDescent="0.2"/>
    <row r="58" spans="2:3" hidden="1" x14ac:dyDescent="0.2"/>
    <row r="59" spans="2:3" hidden="1" x14ac:dyDescent="0.2"/>
    <row r="60" spans="2:3" hidden="1" x14ac:dyDescent="0.2"/>
    <row r="61" spans="2:3" hidden="1" x14ac:dyDescent="0.2"/>
    <row r="62" spans="2:3" hidden="1" x14ac:dyDescent="0.2"/>
    <row r="63" spans="2:3" hidden="1" x14ac:dyDescent="0.2"/>
    <row r="64" spans="2: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</sheetData>
  <sheetProtection password="99B7" sheet="1" objects="1" scenarios="1"/>
  <customSheetViews>
    <customSheetView guid="{4BF10618-D357-11D5-9338-EFF21189730A}" showGridLines="0" outlineSymbols="0" showRuler="0" topLeftCell="A22">
      <selection activeCell="D32" sqref="D32"/>
      <pageMargins left="0.51181102362204722" right="0.51181102362204722" top="0.98425196850393704" bottom="0.98425196850393704" header="0" footer="0"/>
      <printOptions horizontalCentered="1"/>
      <pageSetup scale="55" orientation="landscape" horizontalDpi="180" verticalDpi="180" r:id="rId1"/>
      <headerFooter alignWithMargins="0"/>
    </customSheetView>
  </customSheetViews>
  <mergeCells count="4">
    <mergeCell ref="B1:R1"/>
    <mergeCell ref="B2:R2"/>
    <mergeCell ref="B3:R3"/>
    <mergeCell ref="B35:C35"/>
  </mergeCells>
  <printOptions horizontalCentered="1"/>
  <pageMargins left="0.51181102362204722" right="0.51181102362204722" top="0.98425196850393704" bottom="0.98425196850393704" header="0" footer="0"/>
  <pageSetup scale="55" orientation="landscape" horizontalDpi="180" verticalDpi="180" r:id="rId2"/>
  <headerFooter alignWithMargins="0"/>
  <ignoredErrors>
    <ignoredError sqref="C44:F47 C48:F50 C36:C4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R59"/>
  <sheetViews>
    <sheetView showGridLines="0" showRowColHeaders="0" showOutlineSymbols="0" topLeftCell="A6" workbookViewId="0">
      <selection activeCell="A3" sqref="A3:Q3"/>
    </sheetView>
  </sheetViews>
  <sheetFormatPr baseColWidth="10" defaultRowHeight="12.75" x14ac:dyDescent="0.2"/>
  <cols>
    <col min="1" max="1" width="39.140625" style="189" bestFit="1" customWidth="1"/>
    <col min="2" max="2" width="12.28515625" style="189" bestFit="1" customWidth="1"/>
    <col min="3" max="3" width="11.7109375" style="189" bestFit="1" customWidth="1"/>
    <col min="4" max="4" width="11.140625" style="189" bestFit="1" customWidth="1"/>
    <col min="5" max="5" width="11.7109375" style="189" bestFit="1" customWidth="1"/>
    <col min="6" max="6" width="13.140625" style="189" bestFit="1" customWidth="1"/>
    <col min="7" max="7" width="13.85546875" style="189" bestFit="1" customWidth="1"/>
    <col min="8" max="11" width="2.85546875" style="189" bestFit="1" customWidth="1"/>
    <col min="12" max="17" width="3.42578125" style="189" bestFit="1" customWidth="1"/>
    <col min="18" max="18" width="1.5703125" style="189" bestFit="1" customWidth="1"/>
    <col min="19" max="16384" width="11.42578125" style="189"/>
  </cols>
  <sheetData>
    <row r="1" spans="1:17" ht="18" x14ac:dyDescent="0.25">
      <c r="A1" s="330" t="str">
        <f>balance!B1</f>
        <v>PROYECTO E-VISTETIC S.A.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x14ac:dyDescent="0.2">
      <c r="A2" s="331" t="s">
        <v>219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 x14ac:dyDescent="0.2">
      <c r="A3" s="331" t="str">
        <f>IF(Inicio!$F$13="Años","En Años","En Meses")</f>
        <v>En Años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7" x14ac:dyDescent="0.2">
      <c r="A4" s="190" t="s">
        <v>6</v>
      </c>
      <c r="B4" s="190">
        <v>0</v>
      </c>
      <c r="C4" s="190">
        <v>1</v>
      </c>
      <c r="D4" s="190">
        <v>2</v>
      </c>
      <c r="E4" s="190">
        <v>3</v>
      </c>
      <c r="F4" s="190">
        <v>4</v>
      </c>
      <c r="G4" s="190">
        <v>5</v>
      </c>
      <c r="H4" s="190">
        <v>6</v>
      </c>
      <c r="I4" s="190">
        <v>7</v>
      </c>
      <c r="J4" s="190">
        <v>8</v>
      </c>
      <c r="K4" s="190">
        <v>9</v>
      </c>
      <c r="L4" s="190">
        <v>10</v>
      </c>
      <c r="M4" s="190">
        <v>11</v>
      </c>
      <c r="N4" s="190">
        <v>12</v>
      </c>
      <c r="O4" s="190">
        <v>13</v>
      </c>
      <c r="P4" s="190">
        <v>14</v>
      </c>
      <c r="Q4" s="190">
        <v>15</v>
      </c>
    </row>
    <row r="5" spans="1:17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1:17" x14ac:dyDescent="0.2">
      <c r="A6" s="191" t="s">
        <v>9</v>
      </c>
      <c r="B6" s="191"/>
      <c r="C6" s="192">
        <f>(+'p y g proyectado'!C7-'presupuesto compras y ventas'!C46)*$B$56</f>
        <v>0</v>
      </c>
      <c r="D6" s="192">
        <f>(+'p y g proyectado'!D7-'presupuesto compras y ventas'!D46+'presupuesto compras y ventas'!C46)*$B$56</f>
        <v>0</v>
      </c>
      <c r="E6" s="192">
        <f>(+'p y g proyectado'!E7-'presupuesto compras y ventas'!E46+'presupuesto compras y ventas'!D46)*$B$56</f>
        <v>0</v>
      </c>
      <c r="F6" s="192">
        <f>(+'p y g proyectado'!F7-'presupuesto compras y ventas'!F46+'presupuesto compras y ventas'!E46)*$B$56</f>
        <v>0</v>
      </c>
      <c r="G6" s="192">
        <f>(+'p y g proyectado'!G7-'presupuesto compras y ventas'!G46+'presupuesto compras y ventas'!F46)*$B$56</f>
        <v>0</v>
      </c>
      <c r="H6" s="192">
        <f>(+'p y g proyectado'!H7-'presupuesto compras y ventas'!H46+'presupuesto compras y ventas'!G46)*$B$56</f>
        <v>0</v>
      </c>
      <c r="I6" s="192">
        <f>(+'p y g proyectado'!I7-'presupuesto compras y ventas'!I46+'presupuesto compras y ventas'!H46)*$B$56</f>
        <v>0</v>
      </c>
      <c r="J6" s="192">
        <f>(+'p y g proyectado'!J7-'presupuesto compras y ventas'!J46+'presupuesto compras y ventas'!I46)*$B$56</f>
        <v>0</v>
      </c>
      <c r="K6" s="192">
        <f>(+'p y g proyectado'!K7-'presupuesto compras y ventas'!K46+'presupuesto compras y ventas'!J46)*$B$56</f>
        <v>0</v>
      </c>
      <c r="L6" s="192">
        <f>(+'p y g proyectado'!L7-'presupuesto compras y ventas'!L46+'presupuesto compras y ventas'!K46)*$B$56</f>
        <v>0</v>
      </c>
      <c r="M6" s="192">
        <f>(+'p y g proyectado'!M7-'presupuesto compras y ventas'!M46+'presupuesto compras y ventas'!L46)*$B$56</f>
        <v>0</v>
      </c>
      <c r="N6" s="192">
        <f>(+'p y g proyectado'!N7-'presupuesto compras y ventas'!N46+'presupuesto compras y ventas'!M46)*$B$56</f>
        <v>0</v>
      </c>
      <c r="O6" s="192">
        <f>(+'p y g proyectado'!O7-'presupuesto compras y ventas'!O46+'presupuesto compras y ventas'!N46)*$B$56</f>
        <v>0</v>
      </c>
      <c r="P6" s="192">
        <f>(+'p y g proyectado'!P7-'presupuesto compras y ventas'!P46+'presupuesto compras y ventas'!O46)*$B$56</f>
        <v>0</v>
      </c>
      <c r="Q6" s="192">
        <f>(+'p y g proyectado'!Q7+'presupuesto compras y ventas'!P46)*$B$56</f>
        <v>0</v>
      </c>
    </row>
    <row r="7" spans="1:17" x14ac:dyDescent="0.2">
      <c r="A7" s="191" t="s">
        <v>160</v>
      </c>
      <c r="B7" s="191"/>
      <c r="C7" s="192">
        <f>+'presupuesto compras y ventas'!C9*$B$57</f>
        <v>0</v>
      </c>
      <c r="D7" s="192">
        <f>+'presupuesto compras y ventas'!D9*$B$57</f>
        <v>0</v>
      </c>
      <c r="E7" s="192">
        <f>+'presupuesto compras y ventas'!E9*$B$57</f>
        <v>0</v>
      </c>
      <c r="F7" s="192">
        <f>+'presupuesto compras y ventas'!F9*$B$57</f>
        <v>0</v>
      </c>
      <c r="G7" s="192">
        <f>+'presupuesto compras y ventas'!G9*$B$57</f>
        <v>0</v>
      </c>
      <c r="H7" s="192">
        <f>+'presupuesto compras y ventas'!H9*$B$57</f>
        <v>0</v>
      </c>
      <c r="I7" s="192">
        <f>+'presupuesto compras y ventas'!I9*$B$57</f>
        <v>0</v>
      </c>
      <c r="J7" s="192">
        <f>+'presupuesto compras y ventas'!J9*$B$57</f>
        <v>0</v>
      </c>
      <c r="K7" s="192">
        <f>+'presupuesto compras y ventas'!K9*$B$57</f>
        <v>0</v>
      </c>
      <c r="L7" s="192">
        <f>+'presupuesto compras y ventas'!L9*$B$57</f>
        <v>0</v>
      </c>
      <c r="M7" s="192">
        <f>+'presupuesto compras y ventas'!M9*$B$57</f>
        <v>0</v>
      </c>
      <c r="N7" s="192">
        <f>+'presupuesto compras y ventas'!N9*$B$57</f>
        <v>0</v>
      </c>
      <c r="O7" s="192">
        <f>+'presupuesto compras y ventas'!O9*$B$57</f>
        <v>0</v>
      </c>
      <c r="P7" s="192">
        <f>+'presupuesto compras y ventas'!P9*$B$57</f>
        <v>0</v>
      </c>
      <c r="Q7" s="192">
        <f>+'presupuesto compras y ventas'!Q9*$B$57</f>
        <v>0</v>
      </c>
    </row>
    <row r="8" spans="1:17" x14ac:dyDescent="0.2">
      <c r="A8" s="191" t="s">
        <v>136</v>
      </c>
      <c r="B8" s="191"/>
      <c r="C8" s="192">
        <f>(+'p y g proyectado'!C14+'p y g proyectado'!C23)*$B$58</f>
        <v>0</v>
      </c>
      <c r="D8" s="192">
        <f>(+'p y g proyectado'!D14+'p y g proyectado'!D23)*$B$58</f>
        <v>0</v>
      </c>
      <c r="E8" s="192">
        <f>(+'p y g proyectado'!E14+'p y g proyectado'!E23)*$B$58</f>
        <v>0</v>
      </c>
      <c r="F8" s="192">
        <f>(+'p y g proyectado'!F14+'p y g proyectado'!F23)*$B$58</f>
        <v>0</v>
      </c>
      <c r="G8" s="192">
        <f>(+'p y g proyectado'!G14+'p y g proyectado'!G23)*$B$58</f>
        <v>0</v>
      </c>
      <c r="H8" s="192">
        <f>(+'p y g proyectado'!H14+'p y g proyectado'!H23)*$B$58</f>
        <v>0</v>
      </c>
      <c r="I8" s="192">
        <f>(+'p y g proyectado'!I14+'p y g proyectado'!I23)*$B$58</f>
        <v>0</v>
      </c>
      <c r="J8" s="192">
        <f>(+'p y g proyectado'!J14+'p y g proyectado'!J23)*$B$58</f>
        <v>0</v>
      </c>
      <c r="K8" s="192">
        <f>(+'p y g proyectado'!K14+'p y g proyectado'!K23)*$B$58</f>
        <v>0</v>
      </c>
      <c r="L8" s="192">
        <f>(+'p y g proyectado'!L14+'p y g proyectado'!L23)*$B$58</f>
        <v>0</v>
      </c>
      <c r="M8" s="192">
        <f>(+'p y g proyectado'!M14+'p y g proyectado'!M23)*$B$58</f>
        <v>0</v>
      </c>
      <c r="N8" s="192">
        <f>(+'p y g proyectado'!N14+'p y g proyectado'!N23)*$B$58</f>
        <v>0</v>
      </c>
      <c r="O8" s="192">
        <f>(+'p y g proyectado'!O14+'p y g proyectado'!O23)*$B$58</f>
        <v>0</v>
      </c>
      <c r="P8" s="192">
        <f>(+'p y g proyectado'!P14+'p y g proyectado'!P23)*$B$58</f>
        <v>0</v>
      </c>
      <c r="Q8" s="192">
        <f>(+'p y g proyectado'!Q14+'p y g proyectado'!Q23)*$B$58</f>
        <v>0</v>
      </c>
    </row>
    <row r="9" spans="1:17" x14ac:dyDescent="0.2">
      <c r="A9" s="191" t="s">
        <v>152</v>
      </c>
      <c r="B9" s="191"/>
      <c r="C9" s="192">
        <f>+'p y g proyectado'!C16</f>
        <v>55000000</v>
      </c>
      <c r="D9" s="192">
        <f>+'p y g proyectado'!D16</f>
        <v>55000000</v>
      </c>
      <c r="E9" s="192">
        <f>+'p y g proyectado'!E16</f>
        <v>55000000</v>
      </c>
      <c r="F9" s="192">
        <f>+'p y g proyectado'!F16</f>
        <v>0</v>
      </c>
      <c r="G9" s="192">
        <f>+'p y g proyectado'!G16</f>
        <v>0</v>
      </c>
      <c r="H9" s="192">
        <f>+'p y g proyectado'!H16</f>
        <v>0</v>
      </c>
      <c r="I9" s="192">
        <f>+'p y g proyectado'!I16</f>
        <v>0</v>
      </c>
      <c r="J9" s="192">
        <f>+'p y g proyectado'!J16</f>
        <v>0</v>
      </c>
      <c r="K9" s="192">
        <f>+'p y g proyectado'!K16</f>
        <v>0</v>
      </c>
      <c r="L9" s="192">
        <f>+'p y g proyectado'!L16</f>
        <v>0</v>
      </c>
      <c r="M9" s="192">
        <f>+'p y g proyectado'!M16</f>
        <v>0</v>
      </c>
      <c r="N9" s="192">
        <f>+'p y g proyectado'!N16</f>
        <v>0</v>
      </c>
      <c r="O9" s="192">
        <f>+'p y g proyectado'!O16</f>
        <v>0</v>
      </c>
      <c r="P9" s="192">
        <f>+'p y g proyectado'!P16</f>
        <v>0</v>
      </c>
      <c r="Q9" s="192">
        <f>+'p y g proyectado'!Q16</f>
        <v>0</v>
      </c>
    </row>
    <row r="10" spans="1:17" x14ac:dyDescent="0.2">
      <c r="A10" s="191" t="s">
        <v>153</v>
      </c>
      <c r="B10" s="191"/>
      <c r="C10" s="192">
        <f>+'p y g proyectado'!C17</f>
        <v>22666666.666666668</v>
      </c>
      <c r="D10" s="192">
        <f>+'p y g proyectado'!D17</f>
        <v>22666666.666666668</v>
      </c>
      <c r="E10" s="192">
        <f>+'p y g proyectado'!E17</f>
        <v>22666666.666666668</v>
      </c>
      <c r="F10" s="192">
        <f>+'p y g proyectado'!F17</f>
        <v>0</v>
      </c>
      <c r="G10" s="192">
        <f>+'p y g proyectado'!G17</f>
        <v>0</v>
      </c>
      <c r="H10" s="192">
        <f>+'p y g proyectado'!H17</f>
        <v>0</v>
      </c>
      <c r="I10" s="192">
        <f>+'p y g proyectado'!I17</f>
        <v>0</v>
      </c>
      <c r="J10" s="192">
        <f>+'p y g proyectado'!J17</f>
        <v>0</v>
      </c>
      <c r="K10" s="192">
        <f>+'p y g proyectado'!K17</f>
        <v>0</v>
      </c>
      <c r="L10" s="192">
        <f>+'p y g proyectado'!L17</f>
        <v>0</v>
      </c>
      <c r="M10" s="192">
        <f>+'p y g proyectado'!M17</f>
        <v>0</v>
      </c>
      <c r="N10" s="192">
        <f>+'p y g proyectado'!N17</f>
        <v>0</v>
      </c>
      <c r="O10" s="192">
        <f>+'p y g proyectado'!O17</f>
        <v>0</v>
      </c>
      <c r="P10" s="192">
        <f>+'p y g proyectado'!P17</f>
        <v>0</v>
      </c>
      <c r="Q10" s="192">
        <f>+'p y g proyectado'!Q17</f>
        <v>0</v>
      </c>
    </row>
    <row r="11" spans="1:17" x14ac:dyDescent="0.2">
      <c r="A11" s="191" t="s">
        <v>34</v>
      </c>
      <c r="B11" s="191"/>
      <c r="C11" s="192">
        <f>+'p y g proyectado'!C18</f>
        <v>50295635.802739725</v>
      </c>
      <c r="D11" s="192">
        <f>+'p y g proyectado'!D18</f>
        <v>35956704.656788245</v>
      </c>
      <c r="E11" s="192">
        <f>+'p y g proyectado'!E18</f>
        <v>19314985.019960608</v>
      </c>
      <c r="F11" s="192">
        <f>+'p y g proyectado'!F18</f>
        <v>0</v>
      </c>
      <c r="G11" s="192">
        <f>+'p y g proyectado'!G18</f>
        <v>0</v>
      </c>
      <c r="H11" s="192">
        <f>+'p y g proyectado'!H18</f>
        <v>0</v>
      </c>
      <c r="I11" s="192">
        <f>+'p y g proyectado'!I18</f>
        <v>0</v>
      </c>
      <c r="J11" s="192">
        <f>+'p y g proyectado'!J18</f>
        <v>0</v>
      </c>
      <c r="K11" s="192">
        <f>+'p y g proyectado'!K18</f>
        <v>0</v>
      </c>
      <c r="L11" s="192">
        <f>+'p y g proyectado'!L18</f>
        <v>0</v>
      </c>
      <c r="M11" s="192">
        <f>+'p y g proyectado'!M18</f>
        <v>0</v>
      </c>
      <c r="N11" s="192">
        <f>+'p y g proyectado'!N18</f>
        <v>0</v>
      </c>
      <c r="O11" s="192">
        <f>+'p y g proyectado'!O18</f>
        <v>0</v>
      </c>
      <c r="P11" s="192">
        <f>+'p y g proyectado'!P18</f>
        <v>0</v>
      </c>
      <c r="Q11" s="192">
        <f>+'p y g proyectado'!Q18</f>
        <v>0</v>
      </c>
    </row>
    <row r="12" spans="1:17" x14ac:dyDescent="0.2">
      <c r="A12" s="193" t="s">
        <v>147</v>
      </c>
      <c r="B12" s="193"/>
      <c r="C12" s="194">
        <f>+C6-C7-C8-C9-C10-C11</f>
        <v>-127962302.4694064</v>
      </c>
      <c r="D12" s="194">
        <f>+D6-D7-D8-D9-D10-D11</f>
        <v>-113623371.32345492</v>
      </c>
      <c r="E12" s="194">
        <f>+E6-E7-E8-E9-E10-E11</f>
        <v>-96981651.686627284</v>
      </c>
      <c r="F12" s="194">
        <f>+F6-F7-F8-F9-F10-F11</f>
        <v>0</v>
      </c>
      <c r="G12" s="194">
        <f>+G6-G7-G8-G9-G10-G11</f>
        <v>0</v>
      </c>
      <c r="H12" s="194">
        <f t="shared" ref="H12:Q12" si="0">+H6-H7-H8-H9-H10-H11</f>
        <v>0</v>
      </c>
      <c r="I12" s="194">
        <f t="shared" si="0"/>
        <v>0</v>
      </c>
      <c r="J12" s="194">
        <f t="shared" si="0"/>
        <v>0</v>
      </c>
      <c r="K12" s="194">
        <f t="shared" si="0"/>
        <v>0</v>
      </c>
      <c r="L12" s="194">
        <f t="shared" si="0"/>
        <v>0</v>
      </c>
      <c r="M12" s="194">
        <f t="shared" si="0"/>
        <v>0</v>
      </c>
      <c r="N12" s="194">
        <f t="shared" si="0"/>
        <v>0</v>
      </c>
      <c r="O12" s="194">
        <f t="shared" si="0"/>
        <v>0</v>
      </c>
      <c r="P12" s="194">
        <f t="shared" si="0"/>
        <v>0</v>
      </c>
      <c r="Q12" s="194">
        <f t="shared" si="0"/>
        <v>0</v>
      </c>
    </row>
    <row r="13" spans="1:17" x14ac:dyDescent="0.2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</row>
    <row r="14" spans="1:17" x14ac:dyDescent="0.2">
      <c r="A14" s="191" t="s">
        <v>123</v>
      </c>
      <c r="B14" s="191"/>
      <c r="C14" s="192">
        <f>(+'p y g proyectado'!C15+'p y g proyectado'!C24)*$B$58</f>
        <v>0</v>
      </c>
      <c r="D14" s="192">
        <f>(+'p y g proyectado'!D15+'p y g proyectado'!D24)*$B$58</f>
        <v>0</v>
      </c>
      <c r="E14" s="192">
        <f>(+'p y g proyectado'!E15+'p y g proyectado'!E24)*$B$58</f>
        <v>0</v>
      </c>
      <c r="F14" s="192" t="e">
        <f>(+'p y g proyectado'!F15+'p y g proyectado'!F24)*$B$58</f>
        <v>#VALUE!</v>
      </c>
      <c r="G14" s="192" t="e">
        <f>(+'p y g proyectado'!G15+'p y g proyectado'!G24)*$B$58</f>
        <v>#VALUE!</v>
      </c>
      <c r="H14" s="192">
        <f>(+'p y g proyectado'!H15+'p y g proyectado'!H24)*$B$58</f>
        <v>0</v>
      </c>
      <c r="I14" s="192">
        <f>(+'p y g proyectado'!I15+'p y g proyectado'!I24)*$B$58</f>
        <v>0</v>
      </c>
      <c r="J14" s="192">
        <f>(+'p y g proyectado'!J15+'p y g proyectado'!J24)*$B$58</f>
        <v>0</v>
      </c>
      <c r="K14" s="192">
        <f>(+'p y g proyectado'!K15+'p y g proyectado'!K24)*$B$58</f>
        <v>0</v>
      </c>
      <c r="L14" s="192">
        <f>(+'p y g proyectado'!L15+'p y g proyectado'!L24)*$B$58</f>
        <v>0</v>
      </c>
      <c r="M14" s="192">
        <f>(+'p y g proyectado'!M15+'p y g proyectado'!M24)*$B$58</f>
        <v>0</v>
      </c>
      <c r="N14" s="192">
        <f>(+'p y g proyectado'!N15+'p y g proyectado'!N24)*$B$58</f>
        <v>0</v>
      </c>
      <c r="O14" s="192">
        <f>(+'p y g proyectado'!O15+'p y g proyectado'!O24)*$B$58</f>
        <v>0</v>
      </c>
      <c r="P14" s="192">
        <f>(+'p y g proyectado'!P15+'p y g proyectado'!P24)*$B$58</f>
        <v>0</v>
      </c>
      <c r="Q14" s="192">
        <f>(+'p y g proyectado'!Q15+'p y g proyectado'!Q24)*$B$58</f>
        <v>0</v>
      </c>
    </row>
    <row r="15" spans="1:17" x14ac:dyDescent="0.2">
      <c r="A15" s="191"/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7" x14ac:dyDescent="0.2">
      <c r="A16" s="193" t="s">
        <v>131</v>
      </c>
      <c r="B16" s="193"/>
      <c r="C16" s="194">
        <f>+C12-C14</f>
        <v>-127962302.4694064</v>
      </c>
      <c r="D16" s="194">
        <f>+D12-D14</f>
        <v>-113623371.32345492</v>
      </c>
      <c r="E16" s="194">
        <f>+E12-E14</f>
        <v>-96981651.686627284</v>
      </c>
      <c r="F16" s="194" t="e">
        <f>+F12-F14</f>
        <v>#VALUE!</v>
      </c>
      <c r="G16" s="194" t="e">
        <f>+G12-G14</f>
        <v>#VALUE!</v>
      </c>
      <c r="H16" s="194">
        <f t="shared" ref="H16:Q16" si="1">+H12-H14</f>
        <v>0</v>
      </c>
      <c r="I16" s="194">
        <f t="shared" si="1"/>
        <v>0</v>
      </c>
      <c r="J16" s="194">
        <f t="shared" si="1"/>
        <v>0</v>
      </c>
      <c r="K16" s="194">
        <f t="shared" si="1"/>
        <v>0</v>
      </c>
      <c r="L16" s="194">
        <f t="shared" si="1"/>
        <v>0</v>
      </c>
      <c r="M16" s="194">
        <f t="shared" si="1"/>
        <v>0</v>
      </c>
      <c r="N16" s="194">
        <f t="shared" si="1"/>
        <v>0</v>
      </c>
      <c r="O16" s="194">
        <f t="shared" si="1"/>
        <v>0</v>
      </c>
      <c r="P16" s="194">
        <f t="shared" si="1"/>
        <v>0</v>
      </c>
      <c r="Q16" s="194">
        <f t="shared" si="1"/>
        <v>0</v>
      </c>
    </row>
    <row r="17" spans="1:18" x14ac:dyDescent="0.2">
      <c r="A17" s="193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</row>
    <row r="18" spans="1:18" x14ac:dyDescent="0.2">
      <c r="A18" s="191" t="s">
        <v>138</v>
      </c>
      <c r="B18" s="191" t="s">
        <v>0</v>
      </c>
      <c r="C18" s="192">
        <f>+'p y g proyectado'!C28</f>
        <v>144137090.13570777</v>
      </c>
      <c r="D18" s="192">
        <f>+'p y g proyectado'!D28</f>
        <v>609945434.16679072</v>
      </c>
      <c r="E18" s="192">
        <f>+'p y g proyectado'!E28</f>
        <v>737764193.50108027</v>
      </c>
      <c r="F18" s="192" t="e">
        <f>+'p y g proyectado'!F28</f>
        <v>#VALUE!</v>
      </c>
      <c r="G18" s="192" t="e">
        <f>+'p y g proyectado'!G28</f>
        <v>#VALUE!</v>
      </c>
      <c r="H18" s="192">
        <f>+'p y g proyectado'!H28</f>
        <v>0</v>
      </c>
      <c r="I18" s="192">
        <f>+'p y g proyectado'!I28</f>
        <v>0</v>
      </c>
      <c r="J18" s="192">
        <f>+'p y g proyectado'!J28</f>
        <v>0</v>
      </c>
      <c r="K18" s="192">
        <f>+'p y g proyectado'!K28</f>
        <v>0</v>
      </c>
      <c r="L18" s="192">
        <f>+'p y g proyectado'!L28</f>
        <v>0</v>
      </c>
      <c r="M18" s="192">
        <f>+'p y g proyectado'!M28</f>
        <v>0</v>
      </c>
      <c r="N18" s="192">
        <f>+'p y g proyectado'!N28</f>
        <v>0</v>
      </c>
      <c r="O18" s="192">
        <f>+'p y g proyectado'!O28</f>
        <v>0</v>
      </c>
      <c r="P18" s="192">
        <f>+'p y g proyectado'!P28</f>
        <v>0</v>
      </c>
      <c r="Q18" s="192">
        <f>+'p y g proyectado'!Q28</f>
        <v>0</v>
      </c>
    </row>
    <row r="19" spans="1:18" x14ac:dyDescent="0.2">
      <c r="A19" s="191" t="s">
        <v>139</v>
      </c>
      <c r="B19" s="191"/>
      <c r="C19" s="192">
        <v>0</v>
      </c>
      <c r="D19" s="192">
        <f>IF(D$4&lt;=Inicio!$D$13,+C18,0)</f>
        <v>144137090.13570777</v>
      </c>
      <c r="E19" s="192">
        <f>IF(E$4&lt;=Inicio!$D$13,+D18,0)</f>
        <v>609945434.16679072</v>
      </c>
      <c r="F19" s="192">
        <f>IF(F$4&lt;=Inicio!$D$13,+E18,0)</f>
        <v>0</v>
      </c>
      <c r="G19" s="192">
        <f>IF(G$4&lt;=Inicio!$D$13,+F18,0)</f>
        <v>0</v>
      </c>
      <c r="H19" s="192">
        <f>IF(H$4&lt;=Inicio!$D$13,+G18,0)</f>
        <v>0</v>
      </c>
      <c r="I19" s="192">
        <f>IF(I$4&lt;=Inicio!$D$13,+H18,0)</f>
        <v>0</v>
      </c>
      <c r="J19" s="192">
        <f>IF(J$4&lt;=Inicio!$D$13,+I18,0)</f>
        <v>0</v>
      </c>
      <c r="K19" s="192">
        <f>IF(K$4&lt;=Inicio!$D$13,+J18,0)</f>
        <v>0</v>
      </c>
      <c r="L19" s="192">
        <f>IF(L$4&lt;=Inicio!$D$13,+K18,0)</f>
        <v>0</v>
      </c>
      <c r="M19" s="192">
        <f>IF(M$4&lt;=Inicio!$D$13,+L18,0)</f>
        <v>0</v>
      </c>
      <c r="N19" s="192">
        <f>IF(N$4&lt;=Inicio!$D$13,+M18,0)</f>
        <v>0</v>
      </c>
      <c r="O19" s="192">
        <f>IF(O$4&lt;=Inicio!$D$13,+N18,0)</f>
        <v>0</v>
      </c>
      <c r="P19" s="192">
        <f>IF(P$4&lt;=Inicio!$D$13,+O18,0)</f>
        <v>0</v>
      </c>
      <c r="Q19" s="192">
        <f>IF(Q$4&lt;=Inicio!$D$13,+P18,0)</f>
        <v>0</v>
      </c>
    </row>
    <row r="20" spans="1:18" x14ac:dyDescent="0.2">
      <c r="A20" s="193" t="s">
        <v>148</v>
      </c>
      <c r="B20" s="193"/>
      <c r="C20" s="194">
        <f>+C16-C18</f>
        <v>-272099392.60511416</v>
      </c>
      <c r="D20" s="194">
        <f>+D16-D18</f>
        <v>-723568805.49024558</v>
      </c>
      <c r="E20" s="194">
        <f>+E16-E18</f>
        <v>-834745845.18770754</v>
      </c>
      <c r="F20" s="194" t="e">
        <f>+F16-F18</f>
        <v>#VALUE!</v>
      </c>
      <c r="G20" s="194" t="e">
        <f>+G16-G18</f>
        <v>#VALUE!</v>
      </c>
      <c r="H20" s="194">
        <f t="shared" ref="H20:Q20" si="2">+H16-H18</f>
        <v>0</v>
      </c>
      <c r="I20" s="194">
        <f t="shared" si="2"/>
        <v>0</v>
      </c>
      <c r="J20" s="194">
        <f t="shared" si="2"/>
        <v>0</v>
      </c>
      <c r="K20" s="194">
        <f t="shared" si="2"/>
        <v>0</v>
      </c>
      <c r="L20" s="194">
        <f t="shared" si="2"/>
        <v>0</v>
      </c>
      <c r="M20" s="194">
        <f t="shared" si="2"/>
        <v>0</v>
      </c>
      <c r="N20" s="194">
        <f t="shared" si="2"/>
        <v>0</v>
      </c>
      <c r="O20" s="194">
        <f t="shared" si="2"/>
        <v>0</v>
      </c>
      <c r="P20" s="194">
        <f t="shared" si="2"/>
        <v>0</v>
      </c>
      <c r="Q20" s="194">
        <f t="shared" si="2"/>
        <v>0</v>
      </c>
    </row>
    <row r="21" spans="1:18" x14ac:dyDescent="0.2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</row>
    <row r="22" spans="1:18" x14ac:dyDescent="0.2">
      <c r="A22" s="191" t="s">
        <v>154</v>
      </c>
      <c r="B22" s="191"/>
      <c r="C22" s="192">
        <f t="shared" ref="C22:Q23" si="3">+C9</f>
        <v>55000000</v>
      </c>
      <c r="D22" s="192">
        <f t="shared" si="3"/>
        <v>55000000</v>
      </c>
      <c r="E22" s="192">
        <f t="shared" si="3"/>
        <v>55000000</v>
      </c>
      <c r="F22" s="192">
        <f t="shared" si="3"/>
        <v>0</v>
      </c>
      <c r="G22" s="192">
        <f t="shared" si="3"/>
        <v>0</v>
      </c>
      <c r="H22" s="192">
        <f t="shared" si="3"/>
        <v>0</v>
      </c>
      <c r="I22" s="192">
        <f t="shared" si="3"/>
        <v>0</v>
      </c>
      <c r="J22" s="192">
        <f t="shared" si="3"/>
        <v>0</v>
      </c>
      <c r="K22" s="192">
        <f t="shared" si="3"/>
        <v>0</v>
      </c>
      <c r="L22" s="192">
        <f t="shared" si="3"/>
        <v>0</v>
      </c>
      <c r="M22" s="192">
        <f t="shared" si="3"/>
        <v>0</v>
      </c>
      <c r="N22" s="192">
        <f t="shared" si="3"/>
        <v>0</v>
      </c>
      <c r="O22" s="192">
        <f t="shared" si="3"/>
        <v>0</v>
      </c>
      <c r="P22" s="192">
        <f t="shared" si="3"/>
        <v>0</v>
      </c>
      <c r="Q22" s="192">
        <f t="shared" si="3"/>
        <v>0</v>
      </c>
    </row>
    <row r="23" spans="1:18" x14ac:dyDescent="0.2">
      <c r="A23" s="191" t="s">
        <v>155</v>
      </c>
      <c r="B23" s="191"/>
      <c r="C23" s="192">
        <f t="shared" si="3"/>
        <v>22666666.666666668</v>
      </c>
      <c r="D23" s="192">
        <f t="shared" si="3"/>
        <v>22666666.666666668</v>
      </c>
      <c r="E23" s="192">
        <f t="shared" si="3"/>
        <v>22666666.666666668</v>
      </c>
      <c r="F23" s="192">
        <f t="shared" si="3"/>
        <v>0</v>
      </c>
      <c r="G23" s="192">
        <f t="shared" si="3"/>
        <v>0</v>
      </c>
      <c r="H23" s="192">
        <f t="shared" si="3"/>
        <v>0</v>
      </c>
      <c r="I23" s="192">
        <f t="shared" si="3"/>
        <v>0</v>
      </c>
      <c r="J23" s="192">
        <f t="shared" si="3"/>
        <v>0</v>
      </c>
      <c r="K23" s="192">
        <f t="shared" si="3"/>
        <v>0</v>
      </c>
      <c r="L23" s="192">
        <f t="shared" si="3"/>
        <v>0</v>
      </c>
      <c r="M23" s="192">
        <f t="shared" si="3"/>
        <v>0</v>
      </c>
      <c r="N23" s="192">
        <f t="shared" si="3"/>
        <v>0</v>
      </c>
      <c r="O23" s="192">
        <f t="shared" si="3"/>
        <v>0</v>
      </c>
      <c r="P23" s="192">
        <f t="shared" si="3"/>
        <v>0</v>
      </c>
      <c r="Q23" s="192">
        <f t="shared" si="3"/>
        <v>0</v>
      </c>
    </row>
    <row r="24" spans="1:18" x14ac:dyDescent="0.2">
      <c r="A24" s="191" t="s">
        <v>141</v>
      </c>
      <c r="B24" s="191"/>
      <c r="C24" s="192">
        <f>+C18-C19</f>
        <v>144137090.13570777</v>
      </c>
      <c r="D24" s="192">
        <f>+D18-D19</f>
        <v>465808344.03108299</v>
      </c>
      <c r="E24" s="192">
        <f>+E18-E19</f>
        <v>127818759.33428955</v>
      </c>
      <c r="F24" s="192" t="e">
        <f>+F18-F19</f>
        <v>#VALUE!</v>
      </c>
      <c r="G24" s="192" t="e">
        <f>+G18-G19</f>
        <v>#VALUE!</v>
      </c>
      <c r="H24" s="192">
        <f t="shared" ref="H24:Q24" si="4">+H18-H19</f>
        <v>0</v>
      </c>
      <c r="I24" s="192">
        <f t="shared" si="4"/>
        <v>0</v>
      </c>
      <c r="J24" s="192">
        <f t="shared" si="4"/>
        <v>0</v>
      </c>
      <c r="K24" s="192">
        <f t="shared" si="4"/>
        <v>0</v>
      </c>
      <c r="L24" s="192">
        <f t="shared" si="4"/>
        <v>0</v>
      </c>
      <c r="M24" s="192">
        <f t="shared" si="4"/>
        <v>0</v>
      </c>
      <c r="N24" s="192">
        <f t="shared" si="4"/>
        <v>0</v>
      </c>
      <c r="O24" s="192">
        <f t="shared" si="4"/>
        <v>0</v>
      </c>
      <c r="P24" s="192">
        <f t="shared" si="4"/>
        <v>0</v>
      </c>
      <c r="Q24" s="192">
        <f t="shared" si="4"/>
        <v>0</v>
      </c>
    </row>
    <row r="25" spans="1:18" x14ac:dyDescent="0.2">
      <c r="A25" s="191" t="s">
        <v>156</v>
      </c>
      <c r="B25" s="191"/>
      <c r="C25" s="192">
        <f>+C11</f>
        <v>50295635.802739725</v>
      </c>
      <c r="D25" s="192">
        <f>+D11</f>
        <v>35956704.656788245</v>
      </c>
      <c r="E25" s="192">
        <f>+E11</f>
        <v>19314985.019960608</v>
      </c>
      <c r="F25" s="192">
        <f>+F11</f>
        <v>0</v>
      </c>
      <c r="G25" s="192">
        <f>+G11</f>
        <v>0</v>
      </c>
      <c r="H25" s="192">
        <f t="shared" ref="H25:Q25" si="5">+H11</f>
        <v>0</v>
      </c>
      <c r="I25" s="192">
        <f t="shared" si="5"/>
        <v>0</v>
      </c>
      <c r="J25" s="192">
        <f t="shared" si="5"/>
        <v>0</v>
      </c>
      <c r="K25" s="192">
        <f t="shared" si="5"/>
        <v>0</v>
      </c>
      <c r="L25" s="192">
        <f t="shared" si="5"/>
        <v>0</v>
      </c>
      <c r="M25" s="192">
        <f t="shared" si="5"/>
        <v>0</v>
      </c>
      <c r="N25" s="192">
        <f t="shared" si="5"/>
        <v>0</v>
      </c>
      <c r="O25" s="192">
        <f t="shared" si="5"/>
        <v>0</v>
      </c>
      <c r="P25" s="192">
        <f t="shared" si="5"/>
        <v>0</v>
      </c>
      <c r="Q25" s="192">
        <f t="shared" si="5"/>
        <v>0</v>
      </c>
    </row>
    <row r="26" spans="1:18" x14ac:dyDescent="0.2">
      <c r="A26" s="193" t="s">
        <v>142</v>
      </c>
      <c r="B26" s="193"/>
      <c r="C26" s="194">
        <f>SUM(C20:C25)</f>
        <v>0</v>
      </c>
      <c r="D26" s="194">
        <f>SUM(D20:D25)</f>
        <v>-144137090.13570774</v>
      </c>
      <c r="E26" s="194">
        <f>SUM(E20:E25)</f>
        <v>-609945434.16679072</v>
      </c>
      <c r="F26" s="194" t="e">
        <f>SUM(F20:F25)</f>
        <v>#VALUE!</v>
      </c>
      <c r="G26" s="194" t="e">
        <f>SUM(G20:G25)</f>
        <v>#VALUE!</v>
      </c>
      <c r="H26" s="194">
        <f t="shared" ref="H26:Q26" si="6">SUM(H20:H25)</f>
        <v>0</v>
      </c>
      <c r="I26" s="194">
        <f t="shared" si="6"/>
        <v>0</v>
      </c>
      <c r="J26" s="194">
        <f t="shared" si="6"/>
        <v>0</v>
      </c>
      <c r="K26" s="194">
        <f t="shared" si="6"/>
        <v>0</v>
      </c>
      <c r="L26" s="194">
        <f t="shared" si="6"/>
        <v>0</v>
      </c>
      <c r="M26" s="194">
        <f t="shared" si="6"/>
        <v>0</v>
      </c>
      <c r="N26" s="194">
        <f t="shared" si="6"/>
        <v>0</v>
      </c>
      <c r="O26" s="194">
        <f t="shared" si="6"/>
        <v>0</v>
      </c>
      <c r="P26" s="194">
        <f t="shared" si="6"/>
        <v>0</v>
      </c>
      <c r="Q26" s="194">
        <f t="shared" si="6"/>
        <v>0</v>
      </c>
    </row>
    <row r="27" spans="1:18" x14ac:dyDescent="0.2">
      <c r="A27" s="191" t="s">
        <v>157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</row>
    <row r="28" spans="1:18" x14ac:dyDescent="0.2">
      <c r="A28" s="191" t="s">
        <v>158</v>
      </c>
      <c r="B28" s="192">
        <f>+financiación!C15+financiación!C24+financiación!C6</f>
        <v>313661589.04109585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</row>
    <row r="29" spans="1:18" x14ac:dyDescent="0.2">
      <c r="A29" s="191" t="s">
        <v>143</v>
      </c>
      <c r="B29" s="192">
        <f>-'inversión inicial'!C19</f>
        <v>-400000000</v>
      </c>
      <c r="C29" s="192">
        <f>IF(C$4=Inicio!$D$13,+'inversión inicial'!$E$19,0)</f>
        <v>0</v>
      </c>
      <c r="D29" s="192">
        <f>IF(D$4=Inicio!$D$13,+'inversión inicial'!$E$19,0)</f>
        <v>0</v>
      </c>
      <c r="E29" s="192">
        <f>IF(E$4=Inicio!$D$13,+'inversión inicial'!$E$19,0)</f>
        <v>300000000</v>
      </c>
      <c r="F29" s="192">
        <f>IF(F$4=Inicio!$D$13,+'inversión inicial'!$E$19,0)</f>
        <v>0</v>
      </c>
      <c r="G29" s="192">
        <f>IF(G$4=Inicio!$D$13,+'inversión inicial'!$E$19,0)</f>
        <v>0</v>
      </c>
      <c r="H29" s="192">
        <f>IF(H$4=Inicio!$D$13,+'inversión inicial'!$E$19,0)</f>
        <v>0</v>
      </c>
      <c r="I29" s="192">
        <f>IF(I$4=Inicio!$D$13,+'inversión inicial'!$E$19,0)</f>
        <v>0</v>
      </c>
      <c r="J29" s="192">
        <f>IF(J$4=Inicio!$D$13,+'inversión inicial'!$E$19,0)</f>
        <v>0</v>
      </c>
      <c r="K29" s="192">
        <f>IF(K$4=Inicio!$D$13,+'inversión inicial'!$E$19,0)</f>
        <v>0</v>
      </c>
      <c r="L29" s="192">
        <f>IF(L$4=Inicio!$D$13,+'inversión inicial'!$E$19,0)</f>
        <v>0</v>
      </c>
      <c r="M29" s="192">
        <f>IF(M$4=Inicio!$D$13,+'inversión inicial'!$E$19,0)</f>
        <v>0</v>
      </c>
      <c r="N29" s="192">
        <f>IF(N$4=Inicio!$D$13,+'inversión inicial'!$E$19,0)</f>
        <v>0</v>
      </c>
      <c r="O29" s="192">
        <f>IF(O$4=Inicio!$D$13,+'inversión inicial'!$E$19,0)</f>
        <v>0</v>
      </c>
      <c r="P29" s="192">
        <f>IF(P$4=Inicio!$D$13,+'inversión inicial'!$E$19,0)</f>
        <v>0</v>
      </c>
      <c r="Q29" s="192">
        <f>IF(Q$4=Inicio!$D$13,+'inversión inicial'!$E$19,0)</f>
        <v>0</v>
      </c>
      <c r="R29" s="189" t="s">
        <v>0</v>
      </c>
    </row>
    <row r="30" spans="1:18" x14ac:dyDescent="0.2">
      <c r="A30" s="191" t="s">
        <v>144</v>
      </c>
      <c r="B30" s="192">
        <f>-'inversión inicial'!C20</f>
        <v>-68000000</v>
      </c>
      <c r="C30" s="192">
        <f>IF(C$4=Inicio!$D$13,+'inversión inicial'!$E$20,0)</f>
        <v>0</v>
      </c>
      <c r="D30" s="192">
        <f>IF(D$4=Inicio!$D$13,+'inversión inicial'!$E$20,0)</f>
        <v>0</v>
      </c>
      <c r="E30" s="192">
        <f>IF(E$4=Inicio!$D$13,+'inversión inicial'!$E$20,0)</f>
        <v>51000000</v>
      </c>
      <c r="F30" s="192">
        <f>IF(F$4=Inicio!$D$13,+'inversión inicial'!$E$20,0)</f>
        <v>0</v>
      </c>
      <c r="G30" s="192">
        <f>IF(G$4=Inicio!$D$13,+'inversión inicial'!$E$20,0)</f>
        <v>0</v>
      </c>
      <c r="H30" s="192">
        <f>IF(H$4=Inicio!$D$13,+'inversión inicial'!$E$20,0)</f>
        <v>0</v>
      </c>
      <c r="I30" s="192">
        <f>IF(I$4=Inicio!$D$13,+'inversión inicial'!$E$20,0)</f>
        <v>0</v>
      </c>
      <c r="J30" s="192">
        <f>IF(J$4=Inicio!$D$13,+'inversión inicial'!$E$20,0)</f>
        <v>0</v>
      </c>
      <c r="K30" s="192">
        <f>IF(K$4=Inicio!$D$13,+'inversión inicial'!$E$20,0)</f>
        <v>0</v>
      </c>
      <c r="L30" s="192">
        <f>IF(L$4=Inicio!$D$13,+'inversión inicial'!$E$20,0)</f>
        <v>0</v>
      </c>
      <c r="M30" s="192">
        <f>IF(M$4=Inicio!$D$13,+'inversión inicial'!$E$20,0)</f>
        <v>0</v>
      </c>
      <c r="N30" s="192">
        <f>IF(N$4=Inicio!$D$13,+'inversión inicial'!$E$20,0)</f>
        <v>0</v>
      </c>
      <c r="O30" s="192">
        <f>IF(O$4=Inicio!$D$13,+'inversión inicial'!$E$20,0)</f>
        <v>0</v>
      </c>
      <c r="P30" s="192">
        <f>IF(P$4=Inicio!$D$13,+'inversión inicial'!$E$20,0)</f>
        <v>0</v>
      </c>
      <c r="Q30" s="192">
        <f>IF(Q$4=Inicio!$D$13,+'inversión inicial'!$E$20,0)</f>
        <v>0</v>
      </c>
    </row>
    <row r="31" spans="1:18" x14ac:dyDescent="0.2">
      <c r="A31" s="191" t="s">
        <v>207</v>
      </c>
      <c r="B31" s="192">
        <f>-'inversión inicial'!C21</f>
        <v>-272120547.94520545</v>
      </c>
      <c r="C31" s="192">
        <f>IF(C$4=Inicio!$D$13,+'inversión inicial'!$E$21,)</f>
        <v>0</v>
      </c>
      <c r="D31" s="192">
        <f>IF(D$4=Inicio!$D$13,+'inversión inicial'!$E$21,)</f>
        <v>0</v>
      </c>
      <c r="E31" s="192">
        <f>IF(E$4=Inicio!$D$13,+'inversión inicial'!$E$21,)</f>
        <v>272120547.94520545</v>
      </c>
      <c r="F31" s="192">
        <f>IF(F$4=Inicio!$D$13,+'inversión inicial'!$E$21,)</f>
        <v>0</v>
      </c>
      <c r="G31" s="192">
        <f>IF(G$4=Inicio!$D$13,+'inversión inicial'!$E$21,)</f>
        <v>0</v>
      </c>
      <c r="H31" s="192">
        <f>IF(H$4=Inicio!$D$13,+'inversión inicial'!$E$21,)</f>
        <v>0</v>
      </c>
      <c r="I31" s="192">
        <f>IF(I$4=Inicio!$D$13,+'inversión inicial'!$E$21,)</f>
        <v>0</v>
      </c>
      <c r="J31" s="192">
        <f>IF(J$4=Inicio!$D$13,+'inversión inicial'!$E$21,)</f>
        <v>0</v>
      </c>
      <c r="K31" s="192">
        <f>IF(K$4=Inicio!$D$13,+'inversión inicial'!$E$21,)</f>
        <v>0</v>
      </c>
      <c r="L31" s="192">
        <f>IF(L$4=Inicio!$D$13,+'inversión inicial'!$E$21,)</f>
        <v>0</v>
      </c>
      <c r="M31" s="192">
        <f>IF(M$4=Inicio!$D$13,+'inversión inicial'!$E$21,)</f>
        <v>0</v>
      </c>
      <c r="N31" s="192">
        <f>IF(N$4=Inicio!$D$13,+'inversión inicial'!$E$21,)</f>
        <v>0</v>
      </c>
      <c r="O31" s="192">
        <f>IF(O$4=Inicio!$D$13,+'inversión inicial'!$E$21,)</f>
        <v>0</v>
      </c>
      <c r="P31" s="192">
        <f>IF(P$4=Inicio!$D$13,+'inversión inicial'!$E$21,)</f>
        <v>0</v>
      </c>
      <c r="Q31" s="192">
        <f>IF(Q$4=Inicio!$D$13,+'inversión inicial'!$E$21,)</f>
        <v>0</v>
      </c>
    </row>
    <row r="32" spans="1:18" x14ac:dyDescent="0.2">
      <c r="A32" s="191" t="s">
        <v>206</v>
      </c>
      <c r="B32" s="192">
        <f>-'inversión inicial'!C22</f>
        <v>-44033424.657534242</v>
      </c>
      <c r="C32" s="192">
        <f>IF(C$4=Inicio!$D$13,+'inversión inicial'!$E$22,)</f>
        <v>0</v>
      </c>
      <c r="D32" s="192">
        <f>IF(D$4=Inicio!$D$13,+'inversión inicial'!$E$22,)</f>
        <v>0</v>
      </c>
      <c r="E32" s="192">
        <f>IF(E$4=Inicio!$D$13,+'inversión inicial'!$E$22,)</f>
        <v>44033424.657534242</v>
      </c>
      <c r="F32" s="192">
        <f>IF(F$4=Inicio!$D$13,+'inversión inicial'!$E$22,)</f>
        <v>0</v>
      </c>
      <c r="G32" s="192">
        <f>IF(G$4=Inicio!$D$13,+'inversión inicial'!$E$22,)</f>
        <v>0</v>
      </c>
      <c r="H32" s="192">
        <f>IF(H$4=Inicio!$D$13,+'inversión inicial'!$E$22,)</f>
        <v>0</v>
      </c>
      <c r="I32" s="192">
        <f>IF(I$4=Inicio!$D$13,+'inversión inicial'!$E$22,)</f>
        <v>0</v>
      </c>
      <c r="J32" s="192">
        <f>IF(J$4=Inicio!$D$13,+'inversión inicial'!$E$22,)</f>
        <v>0</v>
      </c>
      <c r="K32" s="192">
        <f>IF(K$4=Inicio!$D$13,+'inversión inicial'!$E$22,)</f>
        <v>0</v>
      </c>
      <c r="L32" s="192">
        <f>IF(L$4=Inicio!$D$13,+'inversión inicial'!$E$22,)</f>
        <v>0</v>
      </c>
      <c r="M32" s="192">
        <f>IF(M$4=Inicio!$D$13,+'inversión inicial'!$E$22,)</f>
        <v>0</v>
      </c>
      <c r="N32" s="192">
        <f>IF(N$4=Inicio!$D$13,+'inversión inicial'!$E$22,)</f>
        <v>0</v>
      </c>
      <c r="O32" s="192">
        <f>IF(O$4=Inicio!$D$13,+'inversión inicial'!$E$22,)</f>
        <v>0</v>
      </c>
      <c r="P32" s="192">
        <f>IF(P$4=Inicio!$D$13,+'inversión inicial'!$E$22,)</f>
        <v>0</v>
      </c>
      <c r="Q32" s="192">
        <f>IF(Q$4=Inicio!$D$13,+'inversión inicial'!$E$22,)</f>
        <v>0</v>
      </c>
    </row>
    <row r="33" spans="1:18" x14ac:dyDescent="0.2">
      <c r="A33" s="191" t="s">
        <v>145</v>
      </c>
      <c r="B33" s="192">
        <f>SUM(B29:B32)+B28</f>
        <v>-470492383.56164384</v>
      </c>
      <c r="C33" s="191"/>
      <c r="D33" s="191"/>
      <c r="E33" s="191"/>
      <c r="F33" s="191"/>
      <c r="G33" s="191">
        <v>0</v>
      </c>
      <c r="H33" s="191"/>
      <c r="I33" s="191"/>
      <c r="J33" s="191"/>
      <c r="K33" s="191"/>
      <c r="L33" s="191"/>
      <c r="M33" s="191"/>
      <c r="N33" s="191"/>
      <c r="O33" s="191"/>
      <c r="P33" s="191"/>
      <c r="Q33" s="191"/>
    </row>
    <row r="34" spans="1:18" x14ac:dyDescent="0.2">
      <c r="A34" s="191" t="s">
        <v>159</v>
      </c>
      <c r="B34" s="192">
        <v>0</v>
      </c>
      <c r="C34" s="192">
        <f>+financiación!D8+financiación!D17+financiación!D26</f>
        <v>89447335.704121798</v>
      </c>
      <c r="D34" s="192">
        <f>+financiación!E8+financiación!E17+financiación!E26</f>
        <v>103786266.85007328</v>
      </c>
      <c r="E34" s="192">
        <f>+financiación!F8+financiación!F17+financiación!F26</f>
        <v>120427986.48690091</v>
      </c>
      <c r="F34" s="192">
        <f>+financiación!G8+financiación!G17+financiación!G26</f>
        <v>0</v>
      </c>
      <c r="G34" s="192">
        <f>+financiación!H8+financiación!H17+financiación!H26</f>
        <v>0</v>
      </c>
      <c r="H34" s="192">
        <f>+financiación!I8+financiación!I17+financiación!I26</f>
        <v>0</v>
      </c>
      <c r="I34" s="192">
        <f>+financiación!J8+financiación!J17+financiación!J26</f>
        <v>0</v>
      </c>
      <c r="J34" s="192">
        <f>+financiación!K8+financiación!K17+financiación!K26</f>
        <v>0</v>
      </c>
      <c r="K34" s="192">
        <f>+financiación!L8+financiación!L17+financiación!L26</f>
        <v>0</v>
      </c>
      <c r="L34" s="192">
        <f>+financiación!M8+financiación!M17+financiación!M26</f>
        <v>0</v>
      </c>
      <c r="M34" s="192">
        <f>+financiación!N8+financiación!N17+financiación!N26</f>
        <v>0</v>
      </c>
      <c r="N34" s="192">
        <f>+financiación!O8+financiación!O17+financiación!O26</f>
        <v>0</v>
      </c>
      <c r="O34" s="192">
        <f>+financiación!P8+financiación!P17+financiación!P26</f>
        <v>0</v>
      </c>
      <c r="P34" s="192">
        <f>+financiación!Q8+financiación!Q17+financiación!Q26</f>
        <v>0</v>
      </c>
      <c r="Q34" s="192">
        <f>+financiación!R8+financiación!R17+financiación!R26</f>
        <v>0</v>
      </c>
      <c r="R34" s="189" t="s">
        <v>0</v>
      </c>
    </row>
    <row r="35" spans="1:18" x14ac:dyDescent="0.2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8" x14ac:dyDescent="0.2">
      <c r="A36" s="193" t="s">
        <v>146</v>
      </c>
      <c r="B36" s="194">
        <f>+B33</f>
        <v>-470492383.56164384</v>
      </c>
      <c r="C36" s="194">
        <f>+C26-C34</f>
        <v>-89447335.704121798</v>
      </c>
      <c r="D36" s="194">
        <f>+D26-D34</f>
        <v>-247923356.98578101</v>
      </c>
      <c r="E36" s="194">
        <f>+E26-E34</f>
        <v>-730373420.65369165</v>
      </c>
      <c r="F36" s="194" t="e">
        <f>+F26-F34</f>
        <v>#VALUE!</v>
      </c>
      <c r="G36" s="194" t="e">
        <f t="shared" ref="G36:Q36" si="7">+G26-G34+G31+G29</f>
        <v>#VALUE!</v>
      </c>
      <c r="H36" s="194">
        <f t="shared" si="7"/>
        <v>0</v>
      </c>
      <c r="I36" s="194">
        <f t="shared" si="7"/>
        <v>0</v>
      </c>
      <c r="J36" s="194">
        <f t="shared" si="7"/>
        <v>0</v>
      </c>
      <c r="K36" s="194">
        <f t="shared" si="7"/>
        <v>0</v>
      </c>
      <c r="L36" s="194">
        <f t="shared" si="7"/>
        <v>0</v>
      </c>
      <c r="M36" s="194">
        <f t="shared" si="7"/>
        <v>0</v>
      </c>
      <c r="N36" s="194">
        <f t="shared" si="7"/>
        <v>0</v>
      </c>
      <c r="O36" s="194">
        <f t="shared" si="7"/>
        <v>0</v>
      </c>
      <c r="P36" s="194">
        <f t="shared" si="7"/>
        <v>0</v>
      </c>
      <c r="Q36" s="194">
        <f t="shared" si="7"/>
        <v>0</v>
      </c>
    </row>
    <row r="37" spans="1:18" x14ac:dyDescent="0.2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</row>
    <row r="38" spans="1:18" x14ac:dyDescent="0.2">
      <c r="A38" s="193"/>
      <c r="B38" s="194"/>
      <c r="C38" s="194"/>
      <c r="D38" s="194"/>
      <c r="E38" s="194"/>
      <c r="F38" s="194"/>
      <c r="G38" s="194"/>
      <c r="H38" s="192"/>
      <c r="I38" s="191"/>
      <c r="J38" s="191"/>
      <c r="K38" s="191"/>
      <c r="L38" s="191"/>
      <c r="M38" s="191"/>
      <c r="N38" s="191"/>
      <c r="O38" s="191"/>
      <c r="P38" s="191"/>
      <c r="Q38" s="191"/>
    </row>
    <row r="39" spans="1:18" x14ac:dyDescent="0.2">
      <c r="A39" s="193" t="s">
        <v>37</v>
      </c>
      <c r="B39" s="194"/>
      <c r="C39" s="194"/>
      <c r="D39" s="194"/>
      <c r="E39" s="194"/>
      <c r="F39" s="194"/>
      <c r="G39" s="194"/>
      <c r="H39" s="192"/>
      <c r="I39" s="191"/>
      <c r="J39" s="191"/>
      <c r="K39" s="191"/>
      <c r="L39" s="191"/>
      <c r="M39" s="191"/>
      <c r="N39" s="191"/>
      <c r="O39" s="191"/>
      <c r="P39" s="191"/>
      <c r="Q39" s="191"/>
    </row>
    <row r="40" spans="1:18" x14ac:dyDescent="0.2">
      <c r="A40" s="191" t="s">
        <v>5</v>
      </c>
      <c r="B40" s="195" t="e">
        <f>IRR(B36:Q36,B42)</f>
        <v>#VALUE!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</row>
    <row r="41" spans="1:18" x14ac:dyDescent="0.2">
      <c r="A41" s="196" t="s">
        <v>3</v>
      </c>
      <c r="B41" s="197" t="e">
        <f>+B36+C36/(1+B42)+D36/POWER(1+B42,2)+E36/POWER(1+B42,3)+F36/POWER(1+B42,4)+G36/POWER(1+B42,5)+H36/POWER(1+B42,6)+I36/POWER(1+B42,7)+J36/POWER(1+B42,8)+K36/POWER(1+B42,9)+L36/POWER(1+B42,10)+M36/POWER(1+B42,11)+N36/POWER(1+B42,12)+O36/POWER(1+B42,13)+P36/POWER(1+B42,14)+Q36/POWER(1+B42,15)</f>
        <v>#VALUE!</v>
      </c>
      <c r="C41" s="198" t="s">
        <v>0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</row>
    <row r="42" spans="1:18" x14ac:dyDescent="0.2">
      <c r="A42" s="191" t="s">
        <v>4</v>
      </c>
      <c r="B42" s="196">
        <f>Inicio!D12</f>
        <v>0.25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</row>
    <row r="43" spans="1:18" x14ac:dyDescent="0.2">
      <c r="A43" s="191" t="s">
        <v>17</v>
      </c>
      <c r="B43" s="199" t="e">
        <f>+B50/-B51</f>
        <v>#VALUE!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</row>
    <row r="44" spans="1:18" x14ac:dyDescent="0.2">
      <c r="A44" s="191" t="s">
        <v>101</v>
      </c>
      <c r="B44" s="195" t="e">
        <f>(+POWER(B52/-B51,1/B53))-1</f>
        <v>#VALUE!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</row>
    <row r="45" spans="1:18" x14ac:dyDescent="0.2">
      <c r="A45" s="191" t="s">
        <v>104</v>
      </c>
      <c r="B45" s="192">
        <f>(+C8+C9+C10+C11+C14)/(1-(C7/'presupuesto compras y ventas'!C41))</f>
        <v>127962302.4694064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</row>
    <row r="46" spans="1:18" x14ac:dyDescent="0.2">
      <c r="A46" s="191" t="s">
        <v>0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</row>
    <row r="47" spans="1:18" x14ac:dyDescent="0.2">
      <c r="A47" s="193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</row>
    <row r="48" spans="1:18" x14ac:dyDescent="0.2">
      <c r="A48" s="193" t="s">
        <v>93</v>
      </c>
      <c r="B48" s="194">
        <f>IF(B36&gt;=0,B36,0)</f>
        <v>0</v>
      </c>
      <c r="C48" s="194">
        <f t="shared" ref="C48:Q48" si="8">IF(C36&gt;=0,C36,0)</f>
        <v>0</v>
      </c>
      <c r="D48" s="194">
        <f t="shared" si="8"/>
        <v>0</v>
      </c>
      <c r="E48" s="194">
        <f t="shared" si="8"/>
        <v>0</v>
      </c>
      <c r="F48" s="194" t="e">
        <f t="shared" si="8"/>
        <v>#VALUE!</v>
      </c>
      <c r="G48" s="194" t="e">
        <f t="shared" si="8"/>
        <v>#VALUE!</v>
      </c>
      <c r="H48" s="194">
        <f t="shared" si="8"/>
        <v>0</v>
      </c>
      <c r="I48" s="194">
        <f t="shared" si="8"/>
        <v>0</v>
      </c>
      <c r="J48" s="194">
        <f t="shared" si="8"/>
        <v>0</v>
      </c>
      <c r="K48" s="194">
        <f t="shared" si="8"/>
        <v>0</v>
      </c>
      <c r="L48" s="194">
        <f t="shared" si="8"/>
        <v>0</v>
      </c>
      <c r="M48" s="194">
        <f t="shared" si="8"/>
        <v>0</v>
      </c>
      <c r="N48" s="194">
        <f t="shared" si="8"/>
        <v>0</v>
      </c>
      <c r="O48" s="194">
        <f t="shared" si="8"/>
        <v>0</v>
      </c>
      <c r="P48" s="194">
        <f t="shared" si="8"/>
        <v>0</v>
      </c>
      <c r="Q48" s="194">
        <f t="shared" si="8"/>
        <v>0</v>
      </c>
    </row>
    <row r="49" spans="1:17" x14ac:dyDescent="0.2">
      <c r="A49" s="193" t="s">
        <v>96</v>
      </c>
      <c r="B49" s="194">
        <f>IF(B36&lt;0,B36,0)</f>
        <v>-470492383.56164384</v>
      </c>
      <c r="C49" s="194">
        <f t="shared" ref="C49:Q49" si="9">IF(C36&lt;0,C36,0)</f>
        <v>-89447335.704121798</v>
      </c>
      <c r="D49" s="194">
        <f t="shared" si="9"/>
        <v>-247923356.98578101</v>
      </c>
      <c r="E49" s="194">
        <f t="shared" si="9"/>
        <v>-730373420.65369165</v>
      </c>
      <c r="F49" s="194" t="e">
        <f t="shared" si="9"/>
        <v>#VALUE!</v>
      </c>
      <c r="G49" s="194" t="e">
        <f t="shared" si="9"/>
        <v>#VALUE!</v>
      </c>
      <c r="H49" s="194">
        <f t="shared" si="9"/>
        <v>0</v>
      </c>
      <c r="I49" s="194">
        <f t="shared" si="9"/>
        <v>0</v>
      </c>
      <c r="J49" s="194">
        <f t="shared" si="9"/>
        <v>0</v>
      </c>
      <c r="K49" s="194">
        <f t="shared" si="9"/>
        <v>0</v>
      </c>
      <c r="L49" s="194">
        <f t="shared" si="9"/>
        <v>0</v>
      </c>
      <c r="M49" s="194">
        <f t="shared" si="9"/>
        <v>0</v>
      </c>
      <c r="N49" s="194">
        <f t="shared" si="9"/>
        <v>0</v>
      </c>
      <c r="O49" s="194">
        <f t="shared" si="9"/>
        <v>0</v>
      </c>
      <c r="P49" s="194">
        <f t="shared" si="9"/>
        <v>0</v>
      </c>
      <c r="Q49" s="194">
        <f t="shared" si="9"/>
        <v>0</v>
      </c>
    </row>
    <row r="50" spans="1:17" x14ac:dyDescent="0.2">
      <c r="A50" s="193" t="s">
        <v>94</v>
      </c>
      <c r="B50" s="200" t="e">
        <f>+B48+C48/(1+B42)+D48/POWER(1+B42,2)+E48/POWER(1+B42,3)+F48/POWER(1+B42,4)+G48/POWER(1+B42,5)+H48/POWER(1+B42,6)+I48/POWER(1+B42,7)+J48/POWER(1+B42,8)+K48/POWER(1+B42,9)+L48/POWER(1+B42,10)+M48/POWER(1+B42,11)+N48/POWER(1+B42,12)+O48/POWER(1+B42,13)+P48/POWER(1+B42,14)+Q48/POWER(1+B42,15)</f>
        <v>#VALUE!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</row>
    <row r="51" spans="1:17" x14ac:dyDescent="0.2">
      <c r="A51" s="193" t="s">
        <v>95</v>
      </c>
      <c r="B51" s="197" t="e">
        <f>+B49+C49/(1+B42)+D49/POWER(1+B42,2)+E49/POWER(1+B42,3)+F49/POWER(1+B42,4)+G49/POWER(1+B42,5)+H49/POWER(1+B42,6)+I49/POWER(1+B42,7)+J49/POWER(1+B42,8)+K49/POWER(1+B42,9)+L49/POWER(1+B42,10)+M49/POWER(1+B42,11)+N49/POWER(1+B42,12)+O49/POWER(1+B42,13)+P49/POWER(1+B42,14)+Q49/POWER(1+B42,15)</f>
        <v>#VALUE!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</row>
    <row r="52" spans="1:17" x14ac:dyDescent="0.2">
      <c r="A52" s="193" t="s">
        <v>102</v>
      </c>
      <c r="B52" s="200" t="e">
        <f>+B48*POWER(1+B42,(B53-0))+C48*POWER(1+B42,(B53-1))+D48*POWER(1+B42,(B53-2))+E48*POWER(1+B42,(B53-3))+F48*POWER(1+B42,(B53-4))+G48*POWER(1+B42,(B53-5))+H48*POWER(1+B42,(B53-6))+I48*POWER(1+B42,(B53-7))+J48*POWER(1+B42,(B53-8))+K48*POWER(1+B42,(B53-9))+L48*POWER(1+B42,(B53-10))+M48*POWER(1+B42,(B53-11))+N48*POWER(1+B42,(B53-12))+O48*POWER(1+B42,(B53-13))+P48*POWER(1+B42,(B53-14))+Q48</f>
        <v>#VALUE!</v>
      </c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</row>
    <row r="53" spans="1:17" x14ac:dyDescent="0.2">
      <c r="A53" s="193" t="s">
        <v>103</v>
      </c>
      <c r="B53" s="191">
        <f>Inicio!D13</f>
        <v>3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</row>
    <row r="55" spans="1:17" x14ac:dyDescent="0.2">
      <c r="A55" s="201" t="s">
        <v>88</v>
      </c>
      <c r="B55" s="202" t="s">
        <v>85</v>
      </c>
    </row>
    <row r="56" spans="1:17" x14ac:dyDescent="0.2">
      <c r="A56" s="189" t="s">
        <v>57</v>
      </c>
      <c r="B56" s="203">
        <f>Inicio!F9</f>
        <v>0</v>
      </c>
    </row>
    <row r="57" spans="1:17" x14ac:dyDescent="0.2">
      <c r="A57" s="189" t="s">
        <v>89</v>
      </c>
      <c r="B57" s="203">
        <f>Inicio!F10</f>
        <v>0</v>
      </c>
    </row>
    <row r="58" spans="1:17" x14ac:dyDescent="0.2">
      <c r="A58" s="189" t="s">
        <v>90</v>
      </c>
      <c r="B58" s="203">
        <f>Inicio!F11</f>
        <v>0</v>
      </c>
    </row>
    <row r="59" spans="1:17" x14ac:dyDescent="0.2">
      <c r="A59" s="189" t="s">
        <v>97</v>
      </c>
      <c r="B59" s="203">
        <f>Inicio!D9</f>
        <v>0.35</v>
      </c>
    </row>
  </sheetData>
  <sheetProtection password="99B7" sheet="1" objects="1" scenarios="1" selectLockedCells="1" selectUnlockedCells="1"/>
  <customSheetViews>
    <customSheetView guid="{4BF10618-D357-11D5-9338-EFF21189730A}" showGridLines="0" showRowCol="0" outlineSymbols="0" showRuler="0" topLeftCell="A29">
      <selection activeCell="B41" sqref="B41"/>
      <pageMargins left="0.59055118110236227" right="0.51181102362204722" top="0.98425196850393704" bottom="0.98425196850393704" header="0" footer="0"/>
      <printOptions horizontalCentered="1"/>
      <pageSetup scale="55" orientation="landscape" horizontalDpi="120" verticalDpi="144" r:id="rId1"/>
      <headerFooter alignWithMargins="0"/>
    </customSheetView>
  </customSheetViews>
  <mergeCells count="3">
    <mergeCell ref="A1:Q1"/>
    <mergeCell ref="A2:Q2"/>
    <mergeCell ref="A3:Q3"/>
  </mergeCells>
  <printOptions horizontalCentered="1"/>
  <pageMargins left="0.59055118110236227" right="0.51181102362204722" top="0.98425196850393704" bottom="0.98425196850393704" header="0" footer="0"/>
  <pageSetup scale="45" orientation="landscape" horizontalDpi="120" verticalDpi="144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77"/>
  <sheetViews>
    <sheetView showGridLines="0" showRowColHeaders="0" showOutlineSymbols="0" workbookViewId="0">
      <selection activeCell="A3" sqref="A3:Q3"/>
    </sheetView>
  </sheetViews>
  <sheetFormatPr baseColWidth="10" defaultRowHeight="12.75" x14ac:dyDescent="0.2"/>
  <cols>
    <col min="1" max="1" width="34.140625" style="189" bestFit="1" customWidth="1"/>
    <col min="2" max="2" width="11.42578125" style="189" bestFit="1" customWidth="1"/>
    <col min="3" max="3" width="12.140625" style="189" bestFit="1" customWidth="1"/>
    <col min="4" max="4" width="12.7109375" style="189" bestFit="1" customWidth="1"/>
    <col min="5" max="5" width="12.85546875" style="189" bestFit="1" customWidth="1"/>
    <col min="6" max="6" width="13.42578125" style="189" bestFit="1" customWidth="1"/>
    <col min="7" max="7" width="13.85546875" style="189" bestFit="1" customWidth="1"/>
    <col min="8" max="11" width="2.85546875" style="189" bestFit="1" customWidth="1"/>
    <col min="12" max="17" width="4" style="189" bestFit="1" customWidth="1"/>
    <col min="18" max="16384" width="11.42578125" style="189"/>
  </cols>
  <sheetData>
    <row r="1" spans="1:17" ht="18" x14ac:dyDescent="0.25">
      <c r="A1" s="330" t="str">
        <f>'sensibilidad inversionista'!A1:G1</f>
        <v>PROYECTO E-VISTETIC S.A.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x14ac:dyDescent="0.2">
      <c r="A2" s="331" t="s">
        <v>218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 x14ac:dyDescent="0.2">
      <c r="A3" s="331" t="str">
        <f>IF(Inicio!$F$13="Años","En Años","En Meses")</f>
        <v>En Años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7" x14ac:dyDescent="0.2">
      <c r="A4" s="190" t="s">
        <v>6</v>
      </c>
      <c r="B4" s="190">
        <v>0</v>
      </c>
      <c r="C4" s="190">
        <v>1</v>
      </c>
      <c r="D4" s="190">
        <v>2</v>
      </c>
      <c r="E4" s="190">
        <v>3</v>
      </c>
      <c r="F4" s="190">
        <v>4</v>
      </c>
      <c r="G4" s="190">
        <v>5</v>
      </c>
      <c r="H4" s="190">
        <v>6</v>
      </c>
      <c r="I4" s="190">
        <v>7</v>
      </c>
      <c r="J4" s="190">
        <v>8</v>
      </c>
      <c r="K4" s="190">
        <v>9</v>
      </c>
      <c r="L4" s="190">
        <v>10</v>
      </c>
      <c r="M4" s="190">
        <v>11</v>
      </c>
      <c r="N4" s="190">
        <v>12</v>
      </c>
      <c r="O4" s="190">
        <v>13</v>
      </c>
      <c r="P4" s="190">
        <v>14</v>
      </c>
      <c r="Q4" s="190">
        <v>15</v>
      </c>
    </row>
    <row r="5" spans="1:17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1:17" x14ac:dyDescent="0.2">
      <c r="A6" s="191" t="s">
        <v>9</v>
      </c>
      <c r="B6" s="191"/>
      <c r="C6" s="192">
        <f>(+'p y g proyectado'!C7-'presupuesto compras y ventas'!C46)*$B$56</f>
        <v>0</v>
      </c>
      <c r="D6" s="192">
        <f>(+'p y g proyectado'!D7-'presupuesto compras y ventas'!D46+'presupuesto compras y ventas'!C46)*$B$56</f>
        <v>0</v>
      </c>
      <c r="E6" s="192">
        <f>(+'p y g proyectado'!E7-'presupuesto compras y ventas'!E46+'presupuesto compras y ventas'!D46)*$B$56</f>
        <v>0</v>
      </c>
      <c r="F6" s="192">
        <f>(+'p y g proyectado'!F7-'presupuesto compras y ventas'!F46+'presupuesto compras y ventas'!E46)*$B$56</f>
        <v>0</v>
      </c>
      <c r="G6" s="192">
        <f>(+'p y g proyectado'!G7-'presupuesto compras y ventas'!G46+'presupuesto compras y ventas'!F46)*$B$56</f>
        <v>0</v>
      </c>
      <c r="H6" s="192">
        <f>(+'p y g proyectado'!H7-'presupuesto compras y ventas'!H46+'presupuesto compras y ventas'!G46)*$B$56</f>
        <v>0</v>
      </c>
      <c r="I6" s="192">
        <f>(+'p y g proyectado'!I7-'presupuesto compras y ventas'!I46+'presupuesto compras y ventas'!H46)*$B$56</f>
        <v>0</v>
      </c>
      <c r="J6" s="192">
        <f>(+'p y g proyectado'!J7-'presupuesto compras y ventas'!J46+'presupuesto compras y ventas'!I46)*$B$56</f>
        <v>0</v>
      </c>
      <c r="K6" s="192">
        <f>(+'p y g proyectado'!K7-'presupuesto compras y ventas'!K46+'presupuesto compras y ventas'!J46)*$B$56</f>
        <v>0</v>
      </c>
      <c r="L6" s="192">
        <f>(+'p y g proyectado'!L7-'presupuesto compras y ventas'!L46+'presupuesto compras y ventas'!K46)*$B$56</f>
        <v>0</v>
      </c>
      <c r="M6" s="192">
        <f>(+'p y g proyectado'!M7-'presupuesto compras y ventas'!M46+'presupuesto compras y ventas'!L46)*$B$56</f>
        <v>0</v>
      </c>
      <c r="N6" s="192">
        <f>(+'p y g proyectado'!N7-'presupuesto compras y ventas'!N46+'presupuesto compras y ventas'!M46)*$B$56</f>
        <v>0</v>
      </c>
      <c r="O6" s="192">
        <f>(+'p y g proyectado'!O7-'presupuesto compras y ventas'!O46+'presupuesto compras y ventas'!N46)*$B$56</f>
        <v>0</v>
      </c>
      <c r="P6" s="192">
        <f>(+'p y g proyectado'!P7-'presupuesto compras y ventas'!P46+'presupuesto compras y ventas'!O46)*$B$56</f>
        <v>0</v>
      </c>
      <c r="Q6" s="192">
        <f>(+'p y g proyectado'!Q7+'presupuesto compras y ventas'!P46)*$B$56</f>
        <v>0</v>
      </c>
    </row>
    <row r="7" spans="1:17" x14ac:dyDescent="0.2">
      <c r="A7" s="191" t="s">
        <v>160</v>
      </c>
      <c r="B7" s="191"/>
      <c r="C7" s="192">
        <f>+'presupuesto compras y ventas'!C9*$B$57</f>
        <v>0</v>
      </c>
      <c r="D7" s="192">
        <f>+'presupuesto compras y ventas'!D9*$B$57</f>
        <v>0</v>
      </c>
      <c r="E7" s="192">
        <f>+'presupuesto compras y ventas'!E9*$B$57</f>
        <v>0</v>
      </c>
      <c r="F7" s="192">
        <f>+'presupuesto compras y ventas'!F9*$B$57</f>
        <v>0</v>
      </c>
      <c r="G7" s="192">
        <f>+'presupuesto compras y ventas'!G9*$B$57</f>
        <v>0</v>
      </c>
      <c r="H7" s="192">
        <f>+'presupuesto compras y ventas'!H9*$B$57</f>
        <v>0</v>
      </c>
      <c r="I7" s="192">
        <f>+'presupuesto compras y ventas'!I9*$B$57</f>
        <v>0</v>
      </c>
      <c r="J7" s="192">
        <f>+'presupuesto compras y ventas'!J9*$B$57</f>
        <v>0</v>
      </c>
      <c r="K7" s="192">
        <f>+'presupuesto compras y ventas'!K9*$B$57</f>
        <v>0</v>
      </c>
      <c r="L7" s="192">
        <f>+'presupuesto compras y ventas'!L9*$B$57</f>
        <v>0</v>
      </c>
      <c r="M7" s="192">
        <f>+'presupuesto compras y ventas'!M9*$B$57</f>
        <v>0</v>
      </c>
      <c r="N7" s="192">
        <f>+'presupuesto compras y ventas'!N9*$B$57</f>
        <v>0</v>
      </c>
      <c r="O7" s="192">
        <f>+'presupuesto compras y ventas'!O9*$B$57</f>
        <v>0</v>
      </c>
      <c r="P7" s="192">
        <f>+'presupuesto compras y ventas'!P9*$B$57</f>
        <v>0</v>
      </c>
      <c r="Q7" s="192">
        <f>+'presupuesto compras y ventas'!Q9*$B$57</f>
        <v>0</v>
      </c>
    </row>
    <row r="8" spans="1:17" x14ac:dyDescent="0.2">
      <c r="A8" s="191" t="s">
        <v>136</v>
      </c>
      <c r="B8" s="191"/>
      <c r="C8" s="192">
        <f>(+'p y g proyectado'!C14+'p y g proyectado'!C23)*$B$58</f>
        <v>0</v>
      </c>
      <c r="D8" s="192">
        <f>(+'p y g proyectado'!D14+'p y g proyectado'!D23)*$B$58</f>
        <v>0</v>
      </c>
      <c r="E8" s="192">
        <f>(+'p y g proyectado'!E14+'p y g proyectado'!E23)*$B$58</f>
        <v>0</v>
      </c>
      <c r="F8" s="192">
        <f>(+'p y g proyectado'!F14+'p y g proyectado'!F23)*$B$58</f>
        <v>0</v>
      </c>
      <c r="G8" s="192">
        <f>(+'p y g proyectado'!G14+'p y g proyectado'!G23)*$B$58</f>
        <v>0</v>
      </c>
      <c r="H8" s="192">
        <f>(+'p y g proyectado'!H14+'p y g proyectado'!H23)*$B$58</f>
        <v>0</v>
      </c>
      <c r="I8" s="192">
        <f>(+'p y g proyectado'!I14+'p y g proyectado'!I23)*$B$58</f>
        <v>0</v>
      </c>
      <c r="J8" s="192">
        <f>(+'p y g proyectado'!J14+'p y g proyectado'!J23)*$B$58</f>
        <v>0</v>
      </c>
      <c r="K8" s="192">
        <f>(+'p y g proyectado'!K14+'p y g proyectado'!K23)*$B$58</f>
        <v>0</v>
      </c>
      <c r="L8" s="192">
        <f>(+'p y g proyectado'!L14+'p y g proyectado'!L23)*$B$58</f>
        <v>0</v>
      </c>
      <c r="M8" s="192">
        <f>(+'p y g proyectado'!M14+'p y g proyectado'!M23)*$B$58</f>
        <v>0</v>
      </c>
      <c r="N8" s="192">
        <f>(+'p y g proyectado'!N14+'p y g proyectado'!N23)*$B$58</f>
        <v>0</v>
      </c>
      <c r="O8" s="192">
        <f>(+'p y g proyectado'!O14+'p y g proyectado'!O23)*$B$58</f>
        <v>0</v>
      </c>
      <c r="P8" s="192">
        <f>(+'p y g proyectado'!P14+'p y g proyectado'!P23)*$B$58</f>
        <v>0</v>
      </c>
      <c r="Q8" s="192">
        <f>(+'p y g proyectado'!Q14+'p y g proyectado'!Q23)*$B$58</f>
        <v>0</v>
      </c>
    </row>
    <row r="9" spans="1:17" x14ac:dyDescent="0.2">
      <c r="A9" s="191" t="s">
        <v>152</v>
      </c>
      <c r="B9" s="191"/>
      <c r="C9" s="192">
        <f>+'p y g proyectado'!C16</f>
        <v>55000000</v>
      </c>
      <c r="D9" s="192">
        <f>+'p y g proyectado'!D16</f>
        <v>55000000</v>
      </c>
      <c r="E9" s="192">
        <f>+'p y g proyectado'!E16</f>
        <v>55000000</v>
      </c>
      <c r="F9" s="192">
        <f>+'p y g proyectado'!F16</f>
        <v>0</v>
      </c>
      <c r="G9" s="192">
        <f>+'p y g proyectado'!G16</f>
        <v>0</v>
      </c>
      <c r="H9" s="192">
        <f>+'p y g proyectado'!H16</f>
        <v>0</v>
      </c>
      <c r="I9" s="192">
        <f>+'p y g proyectado'!I16</f>
        <v>0</v>
      </c>
      <c r="J9" s="192">
        <f>+'p y g proyectado'!J16</f>
        <v>0</v>
      </c>
      <c r="K9" s="192">
        <f>+'p y g proyectado'!K16</f>
        <v>0</v>
      </c>
      <c r="L9" s="192">
        <f>+'p y g proyectado'!L16</f>
        <v>0</v>
      </c>
      <c r="M9" s="192">
        <f>+'p y g proyectado'!M16</f>
        <v>0</v>
      </c>
      <c r="N9" s="192">
        <f>+'p y g proyectado'!N16</f>
        <v>0</v>
      </c>
      <c r="O9" s="192">
        <f>+'p y g proyectado'!O16</f>
        <v>0</v>
      </c>
      <c r="P9" s="192">
        <f>+'p y g proyectado'!P16</f>
        <v>0</v>
      </c>
      <c r="Q9" s="192">
        <f>+'p y g proyectado'!Q16</f>
        <v>0</v>
      </c>
    </row>
    <row r="10" spans="1:17" x14ac:dyDescent="0.2">
      <c r="A10" s="191" t="s">
        <v>153</v>
      </c>
      <c r="B10" s="191"/>
      <c r="C10" s="192">
        <f>+'p y g proyectado'!C17</f>
        <v>22666666.666666668</v>
      </c>
      <c r="D10" s="192">
        <f>+'p y g proyectado'!D17</f>
        <v>22666666.666666668</v>
      </c>
      <c r="E10" s="192">
        <f>+'p y g proyectado'!E17</f>
        <v>22666666.666666668</v>
      </c>
      <c r="F10" s="192">
        <f>+'p y g proyectado'!F17</f>
        <v>0</v>
      </c>
      <c r="G10" s="192">
        <f>+'p y g proyectado'!G17</f>
        <v>0</v>
      </c>
      <c r="H10" s="192">
        <f>+'p y g proyectado'!H17</f>
        <v>0</v>
      </c>
      <c r="I10" s="192">
        <f>+'p y g proyectado'!I17</f>
        <v>0</v>
      </c>
      <c r="J10" s="192">
        <f>+'p y g proyectado'!J17</f>
        <v>0</v>
      </c>
      <c r="K10" s="192">
        <f>+'p y g proyectado'!K17</f>
        <v>0</v>
      </c>
      <c r="L10" s="192">
        <f>+'p y g proyectado'!L17</f>
        <v>0</v>
      </c>
      <c r="M10" s="192">
        <f>+'p y g proyectado'!M17</f>
        <v>0</v>
      </c>
      <c r="N10" s="192">
        <f>+'p y g proyectado'!N17</f>
        <v>0</v>
      </c>
      <c r="O10" s="192">
        <f>+'p y g proyectado'!O17</f>
        <v>0</v>
      </c>
      <c r="P10" s="192">
        <f>+'p y g proyectado'!P17</f>
        <v>0</v>
      </c>
      <c r="Q10" s="192">
        <f>+'p y g proyectado'!Q17</f>
        <v>0</v>
      </c>
    </row>
    <row r="11" spans="1:17" x14ac:dyDescent="0.2">
      <c r="A11" s="191" t="s">
        <v>34</v>
      </c>
      <c r="B11" s="191"/>
      <c r="C11" s="192">
        <f>+'p y g proyectado'!C18</f>
        <v>50295635.802739725</v>
      </c>
      <c r="D11" s="192">
        <f>+'p y g proyectado'!D18</f>
        <v>35956704.656788245</v>
      </c>
      <c r="E11" s="192">
        <f>+'p y g proyectado'!E18</f>
        <v>19314985.019960608</v>
      </c>
      <c r="F11" s="192">
        <f>+'p y g proyectado'!F18</f>
        <v>0</v>
      </c>
      <c r="G11" s="192">
        <f>+'p y g proyectado'!G18</f>
        <v>0</v>
      </c>
      <c r="H11" s="192">
        <f>+'p y g proyectado'!H18</f>
        <v>0</v>
      </c>
      <c r="I11" s="192">
        <f>+'p y g proyectado'!I18</f>
        <v>0</v>
      </c>
      <c r="J11" s="192">
        <f>+'p y g proyectado'!J18</f>
        <v>0</v>
      </c>
      <c r="K11" s="192">
        <f>+'p y g proyectado'!K18</f>
        <v>0</v>
      </c>
      <c r="L11" s="192">
        <f>+'p y g proyectado'!L18</f>
        <v>0</v>
      </c>
      <c r="M11" s="192">
        <f>+'p y g proyectado'!M18</f>
        <v>0</v>
      </c>
      <c r="N11" s="192">
        <f>+'p y g proyectado'!N18</f>
        <v>0</v>
      </c>
      <c r="O11" s="192">
        <f>+'p y g proyectado'!O18</f>
        <v>0</v>
      </c>
      <c r="P11" s="192">
        <f>+'p y g proyectado'!P18</f>
        <v>0</v>
      </c>
      <c r="Q11" s="192">
        <f>+'p y g proyectado'!Q18</f>
        <v>0</v>
      </c>
    </row>
    <row r="12" spans="1:17" x14ac:dyDescent="0.2">
      <c r="A12" s="193" t="s">
        <v>147</v>
      </c>
      <c r="B12" s="193"/>
      <c r="C12" s="194">
        <f>+C6-C7-C8-C9-C10-C11</f>
        <v>-127962302.4694064</v>
      </c>
      <c r="D12" s="194">
        <f>+D6-D7-D8-D9-D10-D11</f>
        <v>-113623371.32345492</v>
      </c>
      <c r="E12" s="194">
        <f>+E6-E7-E8-E9-E10-E11</f>
        <v>-96981651.686627284</v>
      </c>
      <c r="F12" s="194">
        <f>+F6-F7-F8-F9-F10-F11</f>
        <v>0</v>
      </c>
      <c r="G12" s="194">
        <f>+G6-G7-G8-G9-G10-G11</f>
        <v>0</v>
      </c>
      <c r="H12" s="194">
        <f t="shared" ref="H12:Q12" si="0">+H6-H7-H8-H9-H10-H11</f>
        <v>0</v>
      </c>
      <c r="I12" s="194">
        <f t="shared" si="0"/>
        <v>0</v>
      </c>
      <c r="J12" s="194">
        <f t="shared" si="0"/>
        <v>0</v>
      </c>
      <c r="K12" s="194">
        <f t="shared" si="0"/>
        <v>0</v>
      </c>
      <c r="L12" s="194">
        <f t="shared" si="0"/>
        <v>0</v>
      </c>
      <c r="M12" s="194">
        <f t="shared" si="0"/>
        <v>0</v>
      </c>
      <c r="N12" s="194">
        <f t="shared" si="0"/>
        <v>0</v>
      </c>
      <c r="O12" s="194">
        <f t="shared" si="0"/>
        <v>0</v>
      </c>
      <c r="P12" s="194">
        <f t="shared" si="0"/>
        <v>0</v>
      </c>
      <c r="Q12" s="194">
        <f t="shared" si="0"/>
        <v>0</v>
      </c>
    </row>
    <row r="13" spans="1:17" x14ac:dyDescent="0.2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</row>
    <row r="14" spans="1:17" x14ac:dyDescent="0.2">
      <c r="A14" s="191" t="s">
        <v>123</v>
      </c>
      <c r="B14" s="191"/>
      <c r="C14" s="192">
        <f>(+'p y g proyectado'!C15+'p y g proyectado'!C24)*$B$58</f>
        <v>0</v>
      </c>
      <c r="D14" s="192">
        <f>(+'p y g proyectado'!D15+'p y g proyectado'!D24)*$B$58</f>
        <v>0</v>
      </c>
      <c r="E14" s="192">
        <f>(+'p y g proyectado'!E15+'p y g proyectado'!E24)*$B$58</f>
        <v>0</v>
      </c>
      <c r="F14" s="192" t="e">
        <f>(+'p y g proyectado'!F15+'p y g proyectado'!F24)*$B$58</f>
        <v>#VALUE!</v>
      </c>
      <c r="G14" s="192" t="e">
        <f>(+'p y g proyectado'!G15+'p y g proyectado'!G24)*$B$58</f>
        <v>#VALUE!</v>
      </c>
      <c r="H14" s="192">
        <f>(+'p y g proyectado'!H15+'p y g proyectado'!H24)*$B$58</f>
        <v>0</v>
      </c>
      <c r="I14" s="192">
        <f>(+'p y g proyectado'!I15+'p y g proyectado'!I24)*$B$58</f>
        <v>0</v>
      </c>
      <c r="J14" s="192">
        <f>(+'p y g proyectado'!J15+'p y g proyectado'!J24)*$B$58</f>
        <v>0</v>
      </c>
      <c r="K14" s="192">
        <f>(+'p y g proyectado'!K15+'p y g proyectado'!K24)*$B$58</f>
        <v>0</v>
      </c>
      <c r="L14" s="192">
        <f>(+'p y g proyectado'!L15+'p y g proyectado'!L24)*$B$58</f>
        <v>0</v>
      </c>
      <c r="M14" s="192">
        <f>(+'p y g proyectado'!M15+'p y g proyectado'!M24)*$B$58</f>
        <v>0</v>
      </c>
      <c r="N14" s="192">
        <f>(+'p y g proyectado'!N15+'p y g proyectado'!N24)*$B$58</f>
        <v>0</v>
      </c>
      <c r="O14" s="192">
        <f>(+'p y g proyectado'!O15+'p y g proyectado'!O24)*$B$58</f>
        <v>0</v>
      </c>
      <c r="P14" s="192">
        <f>(+'p y g proyectado'!P15+'p y g proyectado'!P24)*$B$58</f>
        <v>0</v>
      </c>
      <c r="Q14" s="192">
        <f>(+'p y g proyectado'!Q15+'p y g proyectado'!Q24)*$B$58</f>
        <v>0</v>
      </c>
    </row>
    <row r="15" spans="1:17" x14ac:dyDescent="0.2">
      <c r="A15" s="191"/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7" x14ac:dyDescent="0.2">
      <c r="A16" s="193" t="s">
        <v>131</v>
      </c>
      <c r="B16" s="193"/>
      <c r="C16" s="194">
        <f>+C12-C14</f>
        <v>-127962302.4694064</v>
      </c>
      <c r="D16" s="194">
        <f>+D12-D14</f>
        <v>-113623371.32345492</v>
      </c>
      <c r="E16" s="194">
        <f>+E12-E14</f>
        <v>-96981651.686627284</v>
      </c>
      <c r="F16" s="194" t="e">
        <f>+F12-F14</f>
        <v>#VALUE!</v>
      </c>
      <c r="G16" s="194" t="e">
        <f>+G12-G14</f>
        <v>#VALUE!</v>
      </c>
      <c r="H16" s="194">
        <f t="shared" ref="H16:Q16" si="1">+H12-H14</f>
        <v>0</v>
      </c>
      <c r="I16" s="194">
        <f t="shared" si="1"/>
        <v>0</v>
      </c>
      <c r="J16" s="194">
        <f t="shared" si="1"/>
        <v>0</v>
      </c>
      <c r="K16" s="194">
        <f t="shared" si="1"/>
        <v>0</v>
      </c>
      <c r="L16" s="194">
        <f t="shared" si="1"/>
        <v>0</v>
      </c>
      <c r="M16" s="194">
        <f t="shared" si="1"/>
        <v>0</v>
      </c>
      <c r="N16" s="194">
        <f t="shared" si="1"/>
        <v>0</v>
      </c>
      <c r="O16" s="194">
        <f t="shared" si="1"/>
        <v>0</v>
      </c>
      <c r="P16" s="194">
        <f t="shared" si="1"/>
        <v>0</v>
      </c>
      <c r="Q16" s="194">
        <f t="shared" si="1"/>
        <v>0</v>
      </c>
    </row>
    <row r="17" spans="1:17" x14ac:dyDescent="0.2">
      <c r="A17" s="193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</row>
    <row r="18" spans="1:17" x14ac:dyDescent="0.2">
      <c r="A18" s="191" t="s">
        <v>138</v>
      </c>
      <c r="B18" s="191"/>
      <c r="C18" s="192">
        <f>+'p y g proyectado'!C28</f>
        <v>144137090.13570777</v>
      </c>
      <c r="D18" s="192">
        <f>+'p y g proyectado'!D28</f>
        <v>609945434.16679072</v>
      </c>
      <c r="E18" s="192">
        <f>+'p y g proyectado'!E28</f>
        <v>737764193.50108027</v>
      </c>
      <c r="F18" s="192" t="e">
        <f>+'p y g proyectado'!F28</f>
        <v>#VALUE!</v>
      </c>
      <c r="G18" s="192" t="e">
        <f>+'p y g proyectado'!G28</f>
        <v>#VALUE!</v>
      </c>
      <c r="H18" s="192">
        <f>+'p y g proyectado'!H28</f>
        <v>0</v>
      </c>
      <c r="I18" s="192">
        <f>+'p y g proyectado'!I28</f>
        <v>0</v>
      </c>
      <c r="J18" s="192">
        <f>+'p y g proyectado'!J28</f>
        <v>0</v>
      </c>
      <c r="K18" s="192">
        <f>+'p y g proyectado'!K28</f>
        <v>0</v>
      </c>
      <c r="L18" s="192">
        <f>+'p y g proyectado'!L28</f>
        <v>0</v>
      </c>
      <c r="M18" s="192">
        <f>+'p y g proyectado'!M28</f>
        <v>0</v>
      </c>
      <c r="N18" s="192">
        <f>+'p y g proyectado'!N28</f>
        <v>0</v>
      </c>
      <c r="O18" s="192">
        <f>+'p y g proyectado'!O28</f>
        <v>0</v>
      </c>
      <c r="P18" s="192">
        <f>+'p y g proyectado'!P28</f>
        <v>0</v>
      </c>
      <c r="Q18" s="192">
        <f>+'p y g proyectado'!Q28</f>
        <v>0</v>
      </c>
    </row>
    <row r="19" spans="1:17" x14ac:dyDescent="0.2">
      <c r="A19" s="191" t="s">
        <v>139</v>
      </c>
      <c r="B19" s="191"/>
      <c r="C19" s="192">
        <v>0</v>
      </c>
      <c r="D19" s="192">
        <f>IF(D$4&lt;=Inicio!$D$13,+C18,0)</f>
        <v>144137090.13570777</v>
      </c>
      <c r="E19" s="192">
        <f>IF(E$4&lt;=Inicio!$D$13,+D18,0)</f>
        <v>609945434.16679072</v>
      </c>
      <c r="F19" s="192">
        <f>IF(F$4&lt;=Inicio!$D$13,+E18,0)</f>
        <v>0</v>
      </c>
      <c r="G19" s="192">
        <f>IF(G$4&lt;=Inicio!$D$13,+F18,0)</f>
        <v>0</v>
      </c>
      <c r="H19" s="192">
        <f>IF(H$4&lt;=Inicio!$D$13,+G18,0)</f>
        <v>0</v>
      </c>
      <c r="I19" s="192">
        <f>IF(I$4&lt;=Inicio!$D$13,+H18,0)</f>
        <v>0</v>
      </c>
      <c r="J19" s="192">
        <f>IF(J$4&lt;=Inicio!$D$13,+I18,0)</f>
        <v>0</v>
      </c>
      <c r="K19" s="192">
        <f>IF(K$4&lt;=Inicio!$D$13,+J18,0)</f>
        <v>0</v>
      </c>
      <c r="L19" s="192">
        <f>IF(L$4&lt;=Inicio!$D$13,+K18,0)</f>
        <v>0</v>
      </c>
      <c r="M19" s="192">
        <f>IF(M$4&lt;=Inicio!$D$13,+L18,0)</f>
        <v>0</v>
      </c>
      <c r="N19" s="192">
        <f>IF(N$4&lt;=Inicio!$D$13,+M18,0)</f>
        <v>0</v>
      </c>
      <c r="O19" s="192">
        <f>IF(O$4&lt;=Inicio!$D$13,+N18,0)</f>
        <v>0</v>
      </c>
      <c r="P19" s="192">
        <f>IF(P$4&lt;=Inicio!$D$13,+O18,0)</f>
        <v>0</v>
      </c>
      <c r="Q19" s="192">
        <f>IF(Q$4&lt;=Inicio!$D$13,+P18,0)</f>
        <v>0</v>
      </c>
    </row>
    <row r="20" spans="1:17" x14ac:dyDescent="0.2">
      <c r="A20" s="193" t="s">
        <v>148</v>
      </c>
      <c r="B20" s="193"/>
      <c r="C20" s="194">
        <f>+C16-C18</f>
        <v>-272099392.60511416</v>
      </c>
      <c r="D20" s="194">
        <f>+D16-D18</f>
        <v>-723568805.49024558</v>
      </c>
      <c r="E20" s="194">
        <f>+E16-E18</f>
        <v>-834745845.18770754</v>
      </c>
      <c r="F20" s="194" t="e">
        <f>+F16-F18</f>
        <v>#VALUE!</v>
      </c>
      <c r="G20" s="194" t="e">
        <f>+G16-G18</f>
        <v>#VALUE!</v>
      </c>
      <c r="H20" s="194">
        <f t="shared" ref="H20:Q20" si="2">+H16-H18</f>
        <v>0</v>
      </c>
      <c r="I20" s="194">
        <f t="shared" si="2"/>
        <v>0</v>
      </c>
      <c r="J20" s="194">
        <f t="shared" si="2"/>
        <v>0</v>
      </c>
      <c r="K20" s="194">
        <f t="shared" si="2"/>
        <v>0</v>
      </c>
      <c r="L20" s="194">
        <f t="shared" si="2"/>
        <v>0</v>
      </c>
      <c r="M20" s="194">
        <f t="shared" si="2"/>
        <v>0</v>
      </c>
      <c r="N20" s="194">
        <f t="shared" si="2"/>
        <v>0</v>
      </c>
      <c r="O20" s="194">
        <f t="shared" si="2"/>
        <v>0</v>
      </c>
      <c r="P20" s="194">
        <f t="shared" si="2"/>
        <v>0</v>
      </c>
      <c r="Q20" s="194">
        <f t="shared" si="2"/>
        <v>0</v>
      </c>
    </row>
    <row r="21" spans="1:17" x14ac:dyDescent="0.2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</row>
    <row r="22" spans="1:17" x14ac:dyDescent="0.2">
      <c r="A22" s="191" t="s">
        <v>154</v>
      </c>
      <c r="B22" s="191"/>
      <c r="C22" s="192">
        <f t="shared" ref="C22:Q23" si="3">+C9</f>
        <v>55000000</v>
      </c>
      <c r="D22" s="192">
        <f t="shared" si="3"/>
        <v>55000000</v>
      </c>
      <c r="E22" s="192">
        <f t="shared" si="3"/>
        <v>55000000</v>
      </c>
      <c r="F22" s="192">
        <f t="shared" si="3"/>
        <v>0</v>
      </c>
      <c r="G22" s="192">
        <f t="shared" si="3"/>
        <v>0</v>
      </c>
      <c r="H22" s="192">
        <f t="shared" si="3"/>
        <v>0</v>
      </c>
      <c r="I22" s="192">
        <f t="shared" si="3"/>
        <v>0</v>
      </c>
      <c r="J22" s="192">
        <f t="shared" si="3"/>
        <v>0</v>
      </c>
      <c r="K22" s="192">
        <f t="shared" si="3"/>
        <v>0</v>
      </c>
      <c r="L22" s="192">
        <f t="shared" si="3"/>
        <v>0</v>
      </c>
      <c r="M22" s="192">
        <f t="shared" si="3"/>
        <v>0</v>
      </c>
      <c r="N22" s="192">
        <f t="shared" si="3"/>
        <v>0</v>
      </c>
      <c r="O22" s="192">
        <f t="shared" si="3"/>
        <v>0</v>
      </c>
      <c r="P22" s="192">
        <f t="shared" si="3"/>
        <v>0</v>
      </c>
      <c r="Q22" s="192">
        <f t="shared" si="3"/>
        <v>0</v>
      </c>
    </row>
    <row r="23" spans="1:17" x14ac:dyDescent="0.2">
      <c r="A23" s="191" t="s">
        <v>155</v>
      </c>
      <c r="B23" s="191"/>
      <c r="C23" s="192">
        <f t="shared" si="3"/>
        <v>22666666.666666668</v>
      </c>
      <c r="D23" s="192">
        <f t="shared" si="3"/>
        <v>22666666.666666668</v>
      </c>
      <c r="E23" s="192">
        <f t="shared" si="3"/>
        <v>22666666.666666668</v>
      </c>
      <c r="F23" s="192">
        <f t="shared" si="3"/>
        <v>0</v>
      </c>
      <c r="G23" s="192">
        <f t="shared" si="3"/>
        <v>0</v>
      </c>
      <c r="H23" s="192">
        <f t="shared" si="3"/>
        <v>0</v>
      </c>
      <c r="I23" s="192">
        <f t="shared" si="3"/>
        <v>0</v>
      </c>
      <c r="J23" s="192">
        <f t="shared" si="3"/>
        <v>0</v>
      </c>
      <c r="K23" s="192">
        <f t="shared" si="3"/>
        <v>0</v>
      </c>
      <c r="L23" s="192">
        <f t="shared" si="3"/>
        <v>0</v>
      </c>
      <c r="M23" s="192">
        <f t="shared" si="3"/>
        <v>0</v>
      </c>
      <c r="N23" s="192">
        <f t="shared" si="3"/>
        <v>0</v>
      </c>
      <c r="O23" s="192">
        <f t="shared" si="3"/>
        <v>0</v>
      </c>
      <c r="P23" s="192">
        <f t="shared" si="3"/>
        <v>0</v>
      </c>
      <c r="Q23" s="192">
        <f t="shared" si="3"/>
        <v>0</v>
      </c>
    </row>
    <row r="24" spans="1:17" x14ac:dyDescent="0.2">
      <c r="A24" s="191" t="s">
        <v>141</v>
      </c>
      <c r="B24" s="191"/>
      <c r="C24" s="192">
        <f>+C18-C19</f>
        <v>144137090.13570777</v>
      </c>
      <c r="D24" s="192">
        <f>+D18-D19</f>
        <v>465808344.03108299</v>
      </c>
      <c r="E24" s="192">
        <f>+E18-E19</f>
        <v>127818759.33428955</v>
      </c>
      <c r="F24" s="192" t="e">
        <f>+F18-F19</f>
        <v>#VALUE!</v>
      </c>
      <c r="G24" s="192" t="e">
        <f>+G18-G19</f>
        <v>#VALUE!</v>
      </c>
      <c r="H24" s="192">
        <f t="shared" ref="H24:Q24" si="4">+H18-H19</f>
        <v>0</v>
      </c>
      <c r="I24" s="192">
        <f t="shared" si="4"/>
        <v>0</v>
      </c>
      <c r="J24" s="192">
        <f t="shared" si="4"/>
        <v>0</v>
      </c>
      <c r="K24" s="192">
        <f t="shared" si="4"/>
        <v>0</v>
      </c>
      <c r="L24" s="192">
        <f t="shared" si="4"/>
        <v>0</v>
      </c>
      <c r="M24" s="192">
        <f t="shared" si="4"/>
        <v>0</v>
      </c>
      <c r="N24" s="192">
        <f t="shared" si="4"/>
        <v>0</v>
      </c>
      <c r="O24" s="192">
        <f t="shared" si="4"/>
        <v>0</v>
      </c>
      <c r="P24" s="192">
        <f t="shared" si="4"/>
        <v>0</v>
      </c>
      <c r="Q24" s="192">
        <f t="shared" si="4"/>
        <v>0</v>
      </c>
    </row>
    <row r="25" spans="1:17" x14ac:dyDescent="0.2">
      <c r="A25" s="191" t="s">
        <v>156</v>
      </c>
      <c r="B25" s="191"/>
      <c r="C25" s="192">
        <f>+C11</f>
        <v>50295635.802739725</v>
      </c>
      <c r="D25" s="192">
        <f>+D11</f>
        <v>35956704.656788245</v>
      </c>
      <c r="E25" s="192">
        <f>+E11</f>
        <v>19314985.019960608</v>
      </c>
      <c r="F25" s="192">
        <f>+F11</f>
        <v>0</v>
      </c>
      <c r="G25" s="192">
        <f>+G11</f>
        <v>0</v>
      </c>
      <c r="H25" s="192">
        <f t="shared" ref="H25:Q25" si="5">+H11</f>
        <v>0</v>
      </c>
      <c r="I25" s="192">
        <f t="shared" si="5"/>
        <v>0</v>
      </c>
      <c r="J25" s="192">
        <f t="shared" si="5"/>
        <v>0</v>
      </c>
      <c r="K25" s="192">
        <f t="shared" si="5"/>
        <v>0</v>
      </c>
      <c r="L25" s="192">
        <f t="shared" si="5"/>
        <v>0</v>
      </c>
      <c r="M25" s="192">
        <f t="shared" si="5"/>
        <v>0</v>
      </c>
      <c r="N25" s="192">
        <f t="shared" si="5"/>
        <v>0</v>
      </c>
      <c r="O25" s="192">
        <f t="shared" si="5"/>
        <v>0</v>
      </c>
      <c r="P25" s="192">
        <f t="shared" si="5"/>
        <v>0</v>
      </c>
      <c r="Q25" s="192">
        <f t="shared" si="5"/>
        <v>0</v>
      </c>
    </row>
    <row r="26" spans="1:17" x14ac:dyDescent="0.2">
      <c r="A26" s="193" t="s">
        <v>142</v>
      </c>
      <c r="B26" s="193"/>
      <c r="C26" s="194">
        <f>SUM(C20:C25)</f>
        <v>0</v>
      </c>
      <c r="D26" s="194">
        <f>SUM(D20:D25)</f>
        <v>-144137090.13570774</v>
      </c>
      <c r="E26" s="194">
        <f>SUM(E20:E25)</f>
        <v>-609945434.16679072</v>
      </c>
      <c r="F26" s="194" t="e">
        <f>SUM(F20:F25)</f>
        <v>#VALUE!</v>
      </c>
      <c r="G26" s="194" t="e">
        <f>SUM(G20:G25)</f>
        <v>#VALUE!</v>
      </c>
      <c r="H26" s="194">
        <f t="shared" ref="H26:Q26" si="6">SUM(H20:H25)</f>
        <v>0</v>
      </c>
      <c r="I26" s="194">
        <f t="shared" si="6"/>
        <v>0</v>
      </c>
      <c r="J26" s="194">
        <f t="shared" si="6"/>
        <v>0</v>
      </c>
      <c r="K26" s="194">
        <f t="shared" si="6"/>
        <v>0</v>
      </c>
      <c r="L26" s="194">
        <f t="shared" si="6"/>
        <v>0</v>
      </c>
      <c r="M26" s="194">
        <f t="shared" si="6"/>
        <v>0</v>
      </c>
      <c r="N26" s="194">
        <f t="shared" si="6"/>
        <v>0</v>
      </c>
      <c r="O26" s="194">
        <f t="shared" si="6"/>
        <v>0</v>
      </c>
      <c r="P26" s="194">
        <f t="shared" si="6"/>
        <v>0</v>
      </c>
      <c r="Q26" s="194">
        <f t="shared" si="6"/>
        <v>0</v>
      </c>
    </row>
    <row r="27" spans="1:17" x14ac:dyDescent="0.2">
      <c r="A27" s="191" t="s">
        <v>157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</row>
    <row r="28" spans="1:17" x14ac:dyDescent="0.2">
      <c r="A28" s="191" t="s">
        <v>158</v>
      </c>
      <c r="B28" s="192">
        <v>0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</row>
    <row r="29" spans="1:17" x14ac:dyDescent="0.2">
      <c r="A29" s="191" t="s">
        <v>143</v>
      </c>
      <c r="B29" s="192">
        <f>-'inversión inicial'!C19</f>
        <v>-400000000</v>
      </c>
      <c r="C29" s="192">
        <f>IF(C$4=Inicio!$D$13,+'inversión inicial'!$E$19,0)</f>
        <v>0</v>
      </c>
      <c r="D29" s="192">
        <f>IF(D$4=Inicio!$D$13,+'inversión inicial'!$E$19,0)</f>
        <v>0</v>
      </c>
      <c r="E29" s="192">
        <f>IF(E$4=Inicio!$D$13,+'inversión inicial'!$E$19,0)</f>
        <v>300000000</v>
      </c>
      <c r="F29" s="192">
        <f>IF(F$4=Inicio!$D$13,+'inversión inicial'!$E$19,0)</f>
        <v>0</v>
      </c>
      <c r="G29" s="192">
        <f>IF(G$4=Inicio!$D$13,+'inversión inicial'!$E$19,0)</f>
        <v>0</v>
      </c>
      <c r="H29" s="192">
        <f>IF(H$4=Inicio!$D$13,+'inversión inicial'!$E$19,0)</f>
        <v>0</v>
      </c>
      <c r="I29" s="192">
        <f>IF(I$4=Inicio!$D$13,+'inversión inicial'!$E$19,0)</f>
        <v>0</v>
      </c>
      <c r="J29" s="192">
        <f>IF(J$4=Inicio!$D$13,+'inversión inicial'!$E$19,0)</f>
        <v>0</v>
      </c>
      <c r="K29" s="192">
        <f>IF(K$4=Inicio!$D$13,+'inversión inicial'!$E$19,0)</f>
        <v>0</v>
      </c>
      <c r="L29" s="192">
        <f>IF(L$4=Inicio!$D$13,+'inversión inicial'!$E$19,0)</f>
        <v>0</v>
      </c>
      <c r="M29" s="192">
        <f>IF(M$4=Inicio!$D$13,+'inversión inicial'!$E$19,0)</f>
        <v>0</v>
      </c>
      <c r="N29" s="192">
        <f>IF(N$4=Inicio!$D$13,+'inversión inicial'!$E$19,0)</f>
        <v>0</v>
      </c>
      <c r="O29" s="192">
        <f>IF(O$4=Inicio!$D$13,+'inversión inicial'!$E$19,0)</f>
        <v>0</v>
      </c>
      <c r="P29" s="192">
        <f>IF(P$4=Inicio!$D$13,+'inversión inicial'!$E$19,0)</f>
        <v>0</v>
      </c>
      <c r="Q29" s="192">
        <f>IF(Q$4=Inicio!$D$13,+'inversión inicial'!$E$19,0)</f>
        <v>0</v>
      </c>
    </row>
    <row r="30" spans="1:17" x14ac:dyDescent="0.2">
      <c r="A30" s="191" t="s">
        <v>144</v>
      </c>
      <c r="B30" s="192">
        <f>-'inversión inicial'!C20</f>
        <v>-68000000</v>
      </c>
      <c r="C30" s="192">
        <f>IF(C$4=Inicio!$D$13,+'inversión inicial'!$E$20,0)</f>
        <v>0</v>
      </c>
      <c r="D30" s="192">
        <f>IF(D$4=Inicio!$D$13,+'inversión inicial'!$E$20,0)</f>
        <v>0</v>
      </c>
      <c r="E30" s="192">
        <f>IF(E$4=Inicio!$D$13,+'inversión inicial'!$E$20,0)</f>
        <v>51000000</v>
      </c>
      <c r="F30" s="192">
        <f>IF(F$4=Inicio!$D$13,+'inversión inicial'!$E$20,0)</f>
        <v>0</v>
      </c>
      <c r="G30" s="192">
        <f>IF(G$4=Inicio!$D$13,+'inversión inicial'!$E$20,0)</f>
        <v>0</v>
      </c>
      <c r="H30" s="192">
        <f>IF(H$4=Inicio!$D$13,+'inversión inicial'!$E$20,0)</f>
        <v>0</v>
      </c>
      <c r="I30" s="192">
        <f>IF(I$4=Inicio!$D$13,+'inversión inicial'!$E$20,0)</f>
        <v>0</v>
      </c>
      <c r="J30" s="192">
        <f>IF(J$4=Inicio!$D$13,+'inversión inicial'!$E$20,0)</f>
        <v>0</v>
      </c>
      <c r="K30" s="192">
        <f>IF(K$4=Inicio!$D$13,+'inversión inicial'!$E$20,0)</f>
        <v>0</v>
      </c>
      <c r="L30" s="192">
        <f>IF(L$4=Inicio!$D$13,+'inversión inicial'!$E$20,0)</f>
        <v>0</v>
      </c>
      <c r="M30" s="192">
        <f>IF(M$4=Inicio!$D$13,+'inversión inicial'!$E$20,0)</f>
        <v>0</v>
      </c>
      <c r="N30" s="192">
        <f>IF(N$4=Inicio!$D$13,+'inversión inicial'!$E$20,0)</f>
        <v>0</v>
      </c>
      <c r="O30" s="192">
        <f>IF(O$4=Inicio!$D$13,+'inversión inicial'!$E$20,0)</f>
        <v>0</v>
      </c>
      <c r="P30" s="192">
        <f>IF(P$4=Inicio!$D$13,+'inversión inicial'!$E$20,0)</f>
        <v>0</v>
      </c>
      <c r="Q30" s="192">
        <f>IF(Q$4=Inicio!$D$13,+'inversión inicial'!$E$20,0)</f>
        <v>0</v>
      </c>
    </row>
    <row r="31" spans="1:17" x14ac:dyDescent="0.2">
      <c r="A31" s="191" t="s">
        <v>207</v>
      </c>
      <c r="B31" s="192">
        <f>-'inversión inicial'!C21</f>
        <v>-272120547.94520545</v>
      </c>
      <c r="C31" s="192">
        <f>IF(C$4=Inicio!$D$13,+'inversión inicial'!$E$21,)</f>
        <v>0</v>
      </c>
      <c r="D31" s="192">
        <f>IF(D$4=Inicio!$D$13,+'inversión inicial'!$E$21,)</f>
        <v>0</v>
      </c>
      <c r="E31" s="192">
        <f>IF(E$4=Inicio!$D$13,+'inversión inicial'!$E$21,)</f>
        <v>272120547.94520545</v>
      </c>
      <c r="F31" s="192">
        <f>IF(F$4=Inicio!$D$13,+'inversión inicial'!$E$21,)</f>
        <v>0</v>
      </c>
      <c r="G31" s="192">
        <f>IF(G$4=Inicio!$D$13,+'inversión inicial'!$E$21,)</f>
        <v>0</v>
      </c>
      <c r="H31" s="192">
        <f>IF(H$4=Inicio!$D$13,+'inversión inicial'!$E$21,)</f>
        <v>0</v>
      </c>
      <c r="I31" s="192">
        <f>IF(I$4=Inicio!$D$13,+'inversión inicial'!$E$21,)</f>
        <v>0</v>
      </c>
      <c r="J31" s="192">
        <f>IF(J$4=Inicio!$D$13,+'inversión inicial'!$E$21,)</f>
        <v>0</v>
      </c>
      <c r="K31" s="192">
        <f>IF(K$4=Inicio!$D$13,+'inversión inicial'!$E$21,)</f>
        <v>0</v>
      </c>
      <c r="L31" s="192">
        <f>IF(L$4=Inicio!$D$13,+'inversión inicial'!$E$21,)</f>
        <v>0</v>
      </c>
      <c r="M31" s="192">
        <f>IF(M$4=Inicio!$D$13,+'inversión inicial'!$E$21,)</f>
        <v>0</v>
      </c>
      <c r="N31" s="192">
        <f>IF(N$4=Inicio!$D$13,+'inversión inicial'!$E$21,)</f>
        <v>0</v>
      </c>
      <c r="O31" s="192">
        <f>IF(O$4=Inicio!$D$13,+'inversión inicial'!$E$21,)</f>
        <v>0</v>
      </c>
      <c r="P31" s="192">
        <f>IF(P$4=Inicio!$D$13,+'inversión inicial'!$E$21,)</f>
        <v>0</v>
      </c>
      <c r="Q31" s="192">
        <f>IF(Q$4=Inicio!$D$13,+'inversión inicial'!$E$21,)</f>
        <v>0</v>
      </c>
    </row>
    <row r="32" spans="1:17" x14ac:dyDescent="0.2">
      <c r="A32" s="191" t="s">
        <v>206</v>
      </c>
      <c r="B32" s="192">
        <f>-'inversión inicial'!C22</f>
        <v>-44033424.657534242</v>
      </c>
      <c r="C32" s="192">
        <f>IF(C$4=Inicio!$D$13,+'inversión inicial'!$E$22,)</f>
        <v>0</v>
      </c>
      <c r="D32" s="192">
        <f>IF(D$4=Inicio!$D$13,+'inversión inicial'!$E$22,)</f>
        <v>0</v>
      </c>
      <c r="E32" s="192">
        <f>IF(E$4=Inicio!$D$13,+'inversión inicial'!$E$22,)</f>
        <v>44033424.657534242</v>
      </c>
      <c r="F32" s="192">
        <f>IF(F$4=Inicio!$D$13,+'inversión inicial'!$E$22,)</f>
        <v>0</v>
      </c>
      <c r="G32" s="192">
        <f>IF(G$4=Inicio!$D$13,+'inversión inicial'!$E$22,)</f>
        <v>0</v>
      </c>
      <c r="H32" s="192">
        <f>IF(H$4=Inicio!$D$13,+'inversión inicial'!$E$22,)</f>
        <v>0</v>
      </c>
      <c r="I32" s="192">
        <f>IF(I$4=Inicio!$D$13,+'inversión inicial'!$E$22,)</f>
        <v>0</v>
      </c>
      <c r="J32" s="192">
        <f>IF(J$4=Inicio!$D$13,+'inversión inicial'!$E$22,)</f>
        <v>0</v>
      </c>
      <c r="K32" s="192">
        <f>IF(K$4=Inicio!$D$13,+'inversión inicial'!$E$22,)</f>
        <v>0</v>
      </c>
      <c r="L32" s="192">
        <f>IF(L$4=Inicio!$D$13,+'inversión inicial'!$E$22,)</f>
        <v>0</v>
      </c>
      <c r="M32" s="192">
        <f>IF(M$4=Inicio!$D$13,+'inversión inicial'!$E$22,)</f>
        <v>0</v>
      </c>
      <c r="N32" s="192">
        <f>IF(N$4=Inicio!$D$13,+'inversión inicial'!$E$22,)</f>
        <v>0</v>
      </c>
      <c r="O32" s="192">
        <f>IF(O$4=Inicio!$D$13,+'inversión inicial'!$E$22,)</f>
        <v>0</v>
      </c>
      <c r="P32" s="192">
        <f>IF(P$4=Inicio!$D$13,+'inversión inicial'!$E$22,)</f>
        <v>0</v>
      </c>
      <c r="Q32" s="192">
        <f>IF(Q$4=Inicio!$D$13,+'inversión inicial'!$E$22,)</f>
        <v>0</v>
      </c>
    </row>
    <row r="33" spans="1:17" x14ac:dyDescent="0.2">
      <c r="A33" s="191" t="s">
        <v>145</v>
      </c>
      <c r="B33" s="192">
        <f>SUM(B29:B32)+B28</f>
        <v>-784153972.60273969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</row>
    <row r="34" spans="1:17" x14ac:dyDescent="0.2">
      <c r="A34" s="191" t="s">
        <v>159</v>
      </c>
      <c r="B34" s="192">
        <v>0</v>
      </c>
      <c r="C34" s="192">
        <f>+financiación!D8+financiación!D17+financiación!D26</f>
        <v>89447335.704121798</v>
      </c>
      <c r="D34" s="192">
        <f>+financiación!E8+financiación!E17+financiación!E26</f>
        <v>103786266.85007328</v>
      </c>
      <c r="E34" s="192">
        <f>+financiación!F8+financiación!F17+financiación!F26</f>
        <v>120427986.48690091</v>
      </c>
      <c r="F34" s="192">
        <f>+financiación!G8+financiación!G17+financiación!G26</f>
        <v>0</v>
      </c>
      <c r="G34" s="192">
        <f>+financiación!H8+financiación!H17+financiación!H26</f>
        <v>0</v>
      </c>
      <c r="H34" s="192">
        <f>+financiación!I8+financiación!I17+financiación!I26</f>
        <v>0</v>
      </c>
      <c r="I34" s="192">
        <f>+financiación!J8+financiación!J17+financiación!J26</f>
        <v>0</v>
      </c>
      <c r="J34" s="192">
        <f>+financiación!K8+financiación!K17+financiación!K26</f>
        <v>0</v>
      </c>
      <c r="K34" s="192">
        <f>+financiación!L8+financiación!L17+financiación!L26</f>
        <v>0</v>
      </c>
      <c r="L34" s="192">
        <f>+financiación!M8+financiación!M17+financiación!M26</f>
        <v>0</v>
      </c>
      <c r="M34" s="192">
        <f>+financiación!N8+financiación!N17+financiación!N26</f>
        <v>0</v>
      </c>
      <c r="N34" s="192">
        <f>+financiación!O8+financiación!O17+financiación!O26</f>
        <v>0</v>
      </c>
      <c r="O34" s="192">
        <f>+financiación!P8+financiación!P17+financiación!P26</f>
        <v>0</v>
      </c>
      <c r="P34" s="192">
        <f>+financiación!Q8+financiación!Q17+financiación!Q26</f>
        <v>0</v>
      </c>
      <c r="Q34" s="192">
        <f>+financiación!R8+financiación!R17+financiación!R26</f>
        <v>0</v>
      </c>
    </row>
    <row r="35" spans="1:17" x14ac:dyDescent="0.2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x14ac:dyDescent="0.2">
      <c r="A36" s="193" t="s">
        <v>146</v>
      </c>
      <c r="B36" s="194">
        <f>+B33</f>
        <v>-784153972.60273969</v>
      </c>
      <c r="C36" s="194">
        <f>+C26-C34</f>
        <v>-89447335.704121798</v>
      </c>
      <c r="D36" s="194">
        <f>+D26-D34</f>
        <v>-247923356.98578101</v>
      </c>
      <c r="E36" s="194">
        <f>+E26-E34</f>
        <v>-730373420.65369165</v>
      </c>
      <c r="F36" s="194" t="e">
        <f>+F26-F34</f>
        <v>#VALUE!</v>
      </c>
      <c r="G36" s="194" t="e">
        <f>+G26-G34+G31+G29</f>
        <v>#VALUE!</v>
      </c>
      <c r="H36" s="194">
        <f t="shared" ref="H36:Q36" si="7">+H26-H34+H31+H29</f>
        <v>0</v>
      </c>
      <c r="I36" s="194">
        <f t="shared" si="7"/>
        <v>0</v>
      </c>
      <c r="J36" s="194">
        <f t="shared" si="7"/>
        <v>0</v>
      </c>
      <c r="K36" s="194">
        <f t="shared" si="7"/>
        <v>0</v>
      </c>
      <c r="L36" s="194">
        <f t="shared" si="7"/>
        <v>0</v>
      </c>
      <c r="M36" s="194">
        <f t="shared" si="7"/>
        <v>0</v>
      </c>
      <c r="N36" s="194">
        <f t="shared" si="7"/>
        <v>0</v>
      </c>
      <c r="O36" s="194">
        <f t="shared" si="7"/>
        <v>0</v>
      </c>
      <c r="P36" s="194">
        <f t="shared" si="7"/>
        <v>0</v>
      </c>
      <c r="Q36" s="194">
        <f t="shared" si="7"/>
        <v>0</v>
      </c>
    </row>
    <row r="37" spans="1:17" x14ac:dyDescent="0.2">
      <c r="A37" s="193"/>
      <c r="B37" s="194"/>
      <c r="C37" s="194"/>
      <c r="D37" s="194"/>
      <c r="E37" s="194"/>
      <c r="F37" s="194"/>
      <c r="G37" s="194"/>
      <c r="H37" s="192"/>
      <c r="I37" s="191"/>
      <c r="J37" s="191"/>
      <c r="K37" s="191"/>
      <c r="L37" s="191"/>
      <c r="M37" s="191"/>
      <c r="N37" s="191"/>
      <c r="O37" s="191"/>
      <c r="P37" s="191"/>
      <c r="Q37" s="191"/>
    </row>
    <row r="38" spans="1:17" x14ac:dyDescent="0.2">
      <c r="A38" s="193"/>
      <c r="B38" s="194"/>
      <c r="C38" s="194"/>
      <c r="D38" s="194"/>
      <c r="E38" s="194"/>
      <c r="F38" s="194"/>
      <c r="G38" s="194"/>
      <c r="H38" s="192"/>
      <c r="I38" s="191"/>
      <c r="J38" s="191"/>
      <c r="K38" s="191"/>
      <c r="L38" s="191"/>
      <c r="M38" s="191"/>
      <c r="N38" s="191"/>
      <c r="O38" s="191"/>
      <c r="P38" s="191"/>
      <c r="Q38" s="191"/>
    </row>
    <row r="39" spans="1:17" x14ac:dyDescent="0.2">
      <c r="A39" s="193" t="s">
        <v>37</v>
      </c>
      <c r="B39" s="194"/>
      <c r="C39" s="194"/>
      <c r="D39" s="194"/>
      <c r="E39" s="194"/>
      <c r="F39" s="194"/>
      <c r="G39" s="194"/>
      <c r="H39" s="192"/>
      <c r="I39" s="191"/>
      <c r="J39" s="191"/>
      <c r="K39" s="191"/>
      <c r="L39" s="191"/>
      <c r="M39" s="191"/>
      <c r="N39" s="191"/>
      <c r="O39" s="191"/>
      <c r="P39" s="191"/>
      <c r="Q39" s="191"/>
    </row>
    <row r="40" spans="1:17" x14ac:dyDescent="0.2">
      <c r="A40" s="191" t="s">
        <v>5</v>
      </c>
      <c r="B40" s="195" t="e">
        <f>IRR(B36:Q36,B42)</f>
        <v>#VALUE!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</row>
    <row r="41" spans="1:17" x14ac:dyDescent="0.2">
      <c r="A41" s="196" t="s">
        <v>3</v>
      </c>
      <c r="B41" s="197" t="e">
        <f>+B36+C36/(1+B42)+D36/POWER(1+B42,2)+E36/POWER(1+B42,3)+F36/POWER(1+B42,4)+G36/POWER(1+B42,5)+H36/POWER(1+B42,6)+I36/POWER(1+B42,7)+J36/POWER(1+B42,8)+K36/POWER(1+B42,9)+L36/POWER(1+B42,10)+M36/POWER(1+B42,11)+N36/POWER(1+B42,12)+O36/POWER(1+B42,13)+P36/POWER(1+B42,14)+Q36/POWER(1+B42,15)</f>
        <v>#VALUE!</v>
      </c>
      <c r="C41" s="198" t="s">
        <v>0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</row>
    <row r="42" spans="1:17" x14ac:dyDescent="0.2">
      <c r="A42" s="191" t="s">
        <v>4</v>
      </c>
      <c r="B42" s="196">
        <f>Inicio!D12</f>
        <v>0.25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</row>
    <row r="43" spans="1:17" x14ac:dyDescent="0.2">
      <c r="A43" s="191" t="s">
        <v>17</v>
      </c>
      <c r="B43" s="199" t="e">
        <f>+B50/-B51</f>
        <v>#VALUE!</v>
      </c>
      <c r="C43" s="191" t="s">
        <v>0</v>
      </c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</row>
    <row r="44" spans="1:17" x14ac:dyDescent="0.2">
      <c r="A44" s="191" t="s">
        <v>101</v>
      </c>
      <c r="B44" s="195" t="e">
        <f>(+POWER(B52/-B51,1/B53))-1</f>
        <v>#VALUE!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</row>
    <row r="45" spans="1:17" x14ac:dyDescent="0.2">
      <c r="A45" s="191" t="s">
        <v>104</v>
      </c>
      <c r="B45" s="192">
        <f>(+C8+C9+C10+C11+C14)/(1-(C7/'presupuesto compras y ventas'!C41))</f>
        <v>127962302.4694064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</row>
    <row r="46" spans="1:17" x14ac:dyDescent="0.2">
      <c r="A46" s="191" t="s">
        <v>0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</row>
    <row r="47" spans="1:17" x14ac:dyDescent="0.2">
      <c r="A47" s="193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</row>
    <row r="48" spans="1:17" x14ac:dyDescent="0.2">
      <c r="A48" s="193" t="s">
        <v>93</v>
      </c>
      <c r="B48" s="194">
        <f>IF(B36&gt;=0,B36,0)</f>
        <v>0</v>
      </c>
      <c r="C48" s="194">
        <f t="shared" ref="C48:Q48" si="8">IF(C36&gt;=0,C36,0)</f>
        <v>0</v>
      </c>
      <c r="D48" s="194">
        <f t="shared" si="8"/>
        <v>0</v>
      </c>
      <c r="E48" s="194">
        <f t="shared" si="8"/>
        <v>0</v>
      </c>
      <c r="F48" s="194" t="e">
        <f t="shared" si="8"/>
        <v>#VALUE!</v>
      </c>
      <c r="G48" s="194" t="e">
        <f t="shared" si="8"/>
        <v>#VALUE!</v>
      </c>
      <c r="H48" s="194">
        <f t="shared" si="8"/>
        <v>0</v>
      </c>
      <c r="I48" s="194">
        <f t="shared" si="8"/>
        <v>0</v>
      </c>
      <c r="J48" s="194">
        <f t="shared" si="8"/>
        <v>0</v>
      </c>
      <c r="K48" s="194">
        <f t="shared" si="8"/>
        <v>0</v>
      </c>
      <c r="L48" s="194">
        <f t="shared" si="8"/>
        <v>0</v>
      </c>
      <c r="M48" s="194">
        <f t="shared" si="8"/>
        <v>0</v>
      </c>
      <c r="N48" s="194">
        <f t="shared" si="8"/>
        <v>0</v>
      </c>
      <c r="O48" s="194">
        <f t="shared" si="8"/>
        <v>0</v>
      </c>
      <c r="P48" s="194">
        <f t="shared" si="8"/>
        <v>0</v>
      </c>
      <c r="Q48" s="194">
        <f t="shared" si="8"/>
        <v>0</v>
      </c>
    </row>
    <row r="49" spans="1:17" x14ac:dyDescent="0.2">
      <c r="A49" s="193" t="s">
        <v>96</v>
      </c>
      <c r="B49" s="194">
        <f>IF(B36&lt;0,B36,0)</f>
        <v>-784153972.60273969</v>
      </c>
      <c r="C49" s="194">
        <f t="shared" ref="C49:Q49" si="9">IF(C36&lt;0,C36,0)</f>
        <v>-89447335.704121798</v>
      </c>
      <c r="D49" s="194">
        <f t="shared" si="9"/>
        <v>-247923356.98578101</v>
      </c>
      <c r="E49" s="194">
        <f t="shared" si="9"/>
        <v>-730373420.65369165</v>
      </c>
      <c r="F49" s="194" t="e">
        <f t="shared" si="9"/>
        <v>#VALUE!</v>
      </c>
      <c r="G49" s="194" t="e">
        <f t="shared" si="9"/>
        <v>#VALUE!</v>
      </c>
      <c r="H49" s="194">
        <f t="shared" si="9"/>
        <v>0</v>
      </c>
      <c r="I49" s="194">
        <f t="shared" si="9"/>
        <v>0</v>
      </c>
      <c r="J49" s="194">
        <f t="shared" si="9"/>
        <v>0</v>
      </c>
      <c r="K49" s="194">
        <f t="shared" si="9"/>
        <v>0</v>
      </c>
      <c r="L49" s="194">
        <f t="shared" si="9"/>
        <v>0</v>
      </c>
      <c r="M49" s="194">
        <f t="shared" si="9"/>
        <v>0</v>
      </c>
      <c r="N49" s="194">
        <f t="shared" si="9"/>
        <v>0</v>
      </c>
      <c r="O49" s="194">
        <f t="shared" si="9"/>
        <v>0</v>
      </c>
      <c r="P49" s="194">
        <f t="shared" si="9"/>
        <v>0</v>
      </c>
      <c r="Q49" s="194">
        <f t="shared" si="9"/>
        <v>0</v>
      </c>
    </row>
    <row r="50" spans="1:17" x14ac:dyDescent="0.2">
      <c r="A50" s="193" t="s">
        <v>94</v>
      </c>
      <c r="B50" s="200" t="e">
        <f>+B48+C48/(1+B42)+D48/POWER(1+B42,2)+E48/POWER(1+B42,3)+F48/POWER(1+B42,4)+G48/POWER(1+B42,5)+H48/POWER(1+B42,6)+I48/POWER(1+B42,7)+J48/POWER(1+B42,8)+K48/POWER(1+B42,9)+L48/POWER(1+B42,10)+M48/POWER(1+B42,11)+N48/POWER(1+B42,12)+O48/POWER(1+B42,13)+P48/POWER(1+B42,14)+Q48/POWER(1+B42,15)</f>
        <v>#VALUE!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</row>
    <row r="51" spans="1:17" x14ac:dyDescent="0.2">
      <c r="A51" s="193" t="s">
        <v>95</v>
      </c>
      <c r="B51" s="197" t="e">
        <f>+B49+C49/(1+B42)+D49/POWER(1+B42,2)+E49/POWER(1+B42,3)+F49/POWER(1+B42,4)+G49/POWER(1+B42,5)+H49/POWER(1+B42,6)+I49/POWER(1+B42,7)+J49/POWER(1+B42,8)+K49/POWER(1+B42,9)+L49/POWER(1+B42,10)+M49/POWER(1+B42,11)+N49/POWER(1+B42,12)+O49/POWER(1+B42,13)+P49/POWER(1+B42,14)+Q49/POWER(1+B42,15)</f>
        <v>#VALUE!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</row>
    <row r="52" spans="1:17" x14ac:dyDescent="0.2">
      <c r="A52" s="193" t="s">
        <v>102</v>
      </c>
      <c r="B52" s="200" t="e">
        <f>+B48*POWER(1+B42,(B53-0))+C48*POWER(1+B42,(B53-1))+D48*POWER(1+B42,(B53-2))+E48*POWER(1+B42,(B53-3))+F48*POWER(1+B42,(B53-4))+G48*POWER(1+B42,(B53-5))+H48*POWER(1+B42,(B53-6))+I48*POWER(1+B42,(B53-7))+J48*POWER(1+B42,(B53-8))+K48*POWER(1+B42,(B53-9))+L48*POWER(1+B42,(B53-10))+M48*POWER(1+B42,(B53-11))+N48*POWER(1+B42,(B53-12))+O48*POWER(1+B42,(B53-13))+P48*POWER(1+B42,(B53-14))+Q48</f>
        <v>#VALUE!</v>
      </c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</row>
    <row r="53" spans="1:17" x14ac:dyDescent="0.2">
      <c r="A53" s="193" t="s">
        <v>103</v>
      </c>
      <c r="B53" s="191">
        <f>Inicio!D13</f>
        <v>3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</row>
    <row r="54" spans="1:17" x14ac:dyDescent="0.2">
      <c r="A54" s="191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</row>
    <row r="55" spans="1:17" x14ac:dyDescent="0.2">
      <c r="A55" s="193" t="s">
        <v>88</v>
      </c>
      <c r="B55" s="190" t="s">
        <v>85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</row>
    <row r="56" spans="1:17" x14ac:dyDescent="0.2">
      <c r="A56" s="191" t="s">
        <v>57</v>
      </c>
      <c r="B56" s="195">
        <f>Inicio!F9</f>
        <v>0</v>
      </c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</row>
    <row r="57" spans="1:17" x14ac:dyDescent="0.2">
      <c r="A57" s="191" t="s">
        <v>89</v>
      </c>
      <c r="B57" s="195">
        <f>Inicio!F10</f>
        <v>0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</row>
    <row r="58" spans="1:17" x14ac:dyDescent="0.2">
      <c r="A58" s="191" t="s">
        <v>90</v>
      </c>
      <c r="B58" s="195">
        <f>Inicio!F11</f>
        <v>0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</row>
    <row r="59" spans="1:17" x14ac:dyDescent="0.2">
      <c r="A59" s="191" t="s">
        <v>97</v>
      </c>
      <c r="B59" s="195">
        <f>Inicio!D9</f>
        <v>0.35</v>
      </c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</row>
    <row r="60" spans="1:17" x14ac:dyDescent="0.2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</row>
    <row r="61" spans="1:17" x14ac:dyDescent="0.2">
      <c r="A61" s="191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</row>
    <row r="62" spans="1:17" x14ac:dyDescent="0.2">
      <c r="A62" s="191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</row>
    <row r="63" spans="1:17" x14ac:dyDescent="0.2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</row>
    <row r="64" spans="1:17" x14ac:dyDescent="0.2">
      <c r="A64" s="191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</row>
    <row r="65" spans="1:17" x14ac:dyDescent="0.2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</row>
    <row r="66" spans="1:17" x14ac:dyDescent="0.2">
      <c r="A66" s="191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</row>
    <row r="67" spans="1:17" x14ac:dyDescent="0.2">
      <c r="A67" s="191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</row>
    <row r="68" spans="1:17" x14ac:dyDescent="0.2">
      <c r="A68" s="19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</row>
    <row r="69" spans="1:17" x14ac:dyDescent="0.2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</row>
    <row r="70" spans="1:17" x14ac:dyDescent="0.2">
      <c r="A70" s="191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</row>
    <row r="71" spans="1:17" x14ac:dyDescent="0.2">
      <c r="A71" s="191"/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</row>
    <row r="72" spans="1:17" x14ac:dyDescent="0.2">
      <c r="A72" s="191"/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</row>
    <row r="73" spans="1:17" x14ac:dyDescent="0.2">
      <c r="A73" s="191"/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</row>
    <row r="74" spans="1:17" x14ac:dyDescent="0.2">
      <c r="A74" s="191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</row>
    <row r="75" spans="1:17" x14ac:dyDescent="0.2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</row>
    <row r="76" spans="1:17" x14ac:dyDescent="0.2">
      <c r="A76" s="191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</row>
    <row r="77" spans="1:17" x14ac:dyDescent="0.2">
      <c r="A77" s="191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</sheetData>
  <sheetProtection password="99B7" sheet="1" objects="1" scenarios="1" selectLockedCells="1" selectUnlockedCells="1"/>
  <customSheetViews>
    <customSheetView guid="{4BF10618-D357-11D5-9338-EFF21189730A}" showGridLines="0" showRowCol="0" outlineSymbols="0" showRuler="0">
      <selection activeCell="B44" sqref="B44"/>
      <pageMargins left="0.51181102362204722" right="0.51181102362204722" top="0.62992125984251968" bottom="0.98425196850393704" header="0" footer="0"/>
      <printOptions horizontalCentered="1"/>
      <pageSetup scale="55" orientation="landscape" r:id="rId1"/>
      <headerFooter alignWithMargins="0"/>
    </customSheetView>
  </customSheetViews>
  <mergeCells count="3">
    <mergeCell ref="A1:Q1"/>
    <mergeCell ref="A2:Q2"/>
    <mergeCell ref="A3:Q3"/>
  </mergeCells>
  <printOptions horizontalCentered="1"/>
  <pageMargins left="0.51181102362204722" right="0.51181102362204722" top="0.62992125984251968" bottom="0.98425196850393704" header="0" footer="0"/>
  <pageSetup scale="5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R59"/>
  <sheetViews>
    <sheetView showGridLines="0" showRowColHeaders="0" workbookViewId="0">
      <selection activeCell="D50" sqref="D50"/>
    </sheetView>
  </sheetViews>
  <sheetFormatPr baseColWidth="10" defaultColWidth="0" defaultRowHeight="12.75" zeroHeight="1" x14ac:dyDescent="0.2"/>
  <cols>
    <col min="1" max="1" width="5.28515625" style="79" customWidth="1"/>
    <col min="2" max="2" width="35.28515625" style="79" bestFit="1" customWidth="1"/>
    <col min="3" max="5" width="18.42578125" style="79" bestFit="1" customWidth="1"/>
    <col min="6" max="7" width="20.140625" style="79" hidden="1" customWidth="1"/>
    <col min="8" max="17" width="6.85546875" style="79" hidden="1" customWidth="1"/>
    <col min="18" max="18" width="4.28515625" style="79" customWidth="1"/>
    <col min="19" max="16384" width="11.42578125" style="79" hidden="1"/>
  </cols>
  <sheetData>
    <row r="1" spans="2:18" ht="18" x14ac:dyDescent="0.2">
      <c r="B1" s="286" t="str">
        <f>Inicio!D6</f>
        <v>PROYECTO E-VISTETIC S.A.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2:18" ht="18" x14ac:dyDescent="0.2">
      <c r="B2" s="286" t="s">
        <v>177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spans="2:18" ht="13.5" thickBot="1" x14ac:dyDescent="0.25">
      <c r="B3" s="287" t="str">
        <f>IF(Inicio!$F$13="Años","En Años","En Meses")</f>
        <v>En Años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</row>
    <row r="4" spans="2:18" ht="18.75" thickBot="1" x14ac:dyDescent="0.25">
      <c r="B4" s="292" t="s">
        <v>275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2:18" ht="16.5" thickTop="1" thickBot="1" x14ac:dyDescent="0.3">
      <c r="B5" s="99" t="s">
        <v>6</v>
      </c>
      <c r="C5" s="99">
        <v>1</v>
      </c>
      <c r="D5" s="99">
        <v>2</v>
      </c>
      <c r="E5" s="99">
        <v>3</v>
      </c>
      <c r="F5" s="99">
        <v>4</v>
      </c>
      <c r="G5" s="99">
        <v>5</v>
      </c>
      <c r="H5" s="99">
        <v>6</v>
      </c>
      <c r="I5" s="99">
        <v>7</v>
      </c>
      <c r="J5" s="99">
        <v>8</v>
      </c>
      <c r="K5" s="99">
        <v>9</v>
      </c>
      <c r="L5" s="99">
        <v>10</v>
      </c>
      <c r="M5" s="99">
        <v>11</v>
      </c>
      <c r="N5" s="99">
        <v>12</v>
      </c>
      <c r="O5" s="99">
        <v>13</v>
      </c>
      <c r="P5" s="99">
        <v>14</v>
      </c>
      <c r="Q5" s="99">
        <v>15</v>
      </c>
    </row>
    <row r="6" spans="2:18" ht="16.5" thickTop="1" thickBot="1" x14ac:dyDescent="0.3">
      <c r="B6" s="100" t="s">
        <v>261</v>
      </c>
      <c r="C6" s="101">
        <f>IF(C5&lt;=Inicio!$D$13,(((C38*$C$10)+(C39*$C$11)+(C40*$C$12))),0)</f>
        <v>178580000</v>
      </c>
      <c r="D6" s="101">
        <f>IF(D5&lt;=Inicio!$D$13,(((D38*$C$10)+(D39*$C$11)+(D40*$C$12))),0)</f>
        <v>328420575</v>
      </c>
      <c r="E6" s="101">
        <f>IF(E5&lt;=Inicio!$D$13,(((E38*$C$10)+(E39*$C$11)+(E40*$C$12))),0)</f>
        <v>370813747.5</v>
      </c>
      <c r="F6" s="101">
        <f>IF(F5&lt;=Inicio!$D$13,(((F38*$C$10)+(F39*$C$11)+(F40*$C$12))),0)</f>
        <v>0</v>
      </c>
      <c r="G6" s="101">
        <f>IF(G5&lt;=Inicio!$D$13,(((G38*$C$10)+(G39*$C$11)+(G40*$C$12))),0)</f>
        <v>0</v>
      </c>
      <c r="H6" s="102">
        <f>IF(H5&lt;=Inicio!$D$13,(((H38*$C$10)+(H39*$C$11)+(H40*$C$12))),0)</f>
        <v>0</v>
      </c>
      <c r="I6" s="102">
        <f>IF(I5&lt;=Inicio!$D$13,(((I38*$C$10)+(I39*$C$11)+(I40*$C$12))),0)</f>
        <v>0</v>
      </c>
      <c r="J6" s="102">
        <f>IF(J5&lt;=Inicio!$D$13,(((J38*$C$10)+(J39*$C$11)+(J40*$C$12))),0)</f>
        <v>0</v>
      </c>
      <c r="K6" s="102">
        <f>IF(K5&lt;=Inicio!$D$13,(((K38*$C$10)+(K39*$C$11)+(K40*$C$12))),0)</f>
        <v>0</v>
      </c>
      <c r="L6" s="102">
        <f>IF(L5&lt;=Inicio!$D$13,(((L38*$C$10)+(L39*$C$11)+(L40*$C$12))),0)</f>
        <v>0</v>
      </c>
      <c r="M6" s="102">
        <f>IF(M5&lt;=Inicio!$D$13,(((M38*$C$10)+(M39*$C$11)+(M40*$C$12))),0)</f>
        <v>0</v>
      </c>
      <c r="N6" s="102">
        <f>IF(N5&lt;=Inicio!$D$13,(((N38*$C$10)+(N39*$C$11)+(N40*$C$12))),0)</f>
        <v>0</v>
      </c>
      <c r="O6" s="102">
        <f>IF(O5&lt;=Inicio!$D$13,(((O38*$C$10)+(O39*$C$11)+(O40*$C$12))),0)</f>
        <v>0</v>
      </c>
      <c r="P6" s="102">
        <f>IF(P5&lt;=Inicio!$D$13,(((P38*$C$10)+(P39*$C$11)+(P40*$C$12))),0)</f>
        <v>0</v>
      </c>
      <c r="Q6" s="102">
        <f>IF(Q5&lt;=Inicio!$D$13,(((Q38*$C$10)+(Q39*$C$11)+(Q40*$C$12))),0)</f>
        <v>0</v>
      </c>
    </row>
    <row r="7" spans="2:18" ht="16.5" thickTop="1" thickBot="1" x14ac:dyDescent="0.3">
      <c r="B7" s="100" t="s">
        <v>149</v>
      </c>
      <c r="C7" s="101">
        <f>IF(C5&lt;=Inicio!$D$13,+'gastos personal'!D80,0)</f>
        <v>540820800</v>
      </c>
      <c r="D7" s="101">
        <f>IF(D5&lt;=Inicio!$D$13,+'gastos personal'!E80,0)</f>
        <v>557045424</v>
      </c>
      <c r="E7" s="101">
        <f>IF(E5&lt;=Inicio!$D$13,+'gastos personal'!F80,0)</f>
        <v>573756786.72000003</v>
      </c>
      <c r="F7" s="101">
        <f>IF(F5&lt;=Inicio!$D$13,+'gastos personal'!G80,0)</f>
        <v>0</v>
      </c>
      <c r="G7" s="101">
        <f>IF(G5&lt;=Inicio!$D$13,+'gastos personal'!H80,0)</f>
        <v>0</v>
      </c>
      <c r="H7" s="102">
        <f>IF(H5&lt;=Inicio!$D$13,+'gastos personal'!I80,0)</f>
        <v>0</v>
      </c>
      <c r="I7" s="102">
        <f>IF(I5&lt;=Inicio!$D$13,+'gastos personal'!J80,0)</f>
        <v>0</v>
      </c>
      <c r="J7" s="102">
        <f>IF(J5&lt;=Inicio!$D$13,+'gastos personal'!K80,0)</f>
        <v>0</v>
      </c>
      <c r="K7" s="102">
        <f>IF(K5&lt;=Inicio!$D$13,+'gastos personal'!L80,0)</f>
        <v>0</v>
      </c>
      <c r="L7" s="102">
        <f>IF(L5&lt;=Inicio!$D$13,+'gastos personal'!M80,0)</f>
        <v>0</v>
      </c>
      <c r="M7" s="102">
        <f>IF(M5&lt;=Inicio!$D$13,+'gastos personal'!N80,0)</f>
        <v>0</v>
      </c>
      <c r="N7" s="102">
        <f>IF(N5&lt;=Inicio!$D$13,+'gastos personal'!O80,0)</f>
        <v>0</v>
      </c>
      <c r="O7" s="102">
        <f>IF(O5&lt;=Inicio!$D$13,+'gastos personal'!P80,0)</f>
        <v>0</v>
      </c>
      <c r="P7" s="102">
        <f>IF(P5&lt;=Inicio!$D$13,+'gastos personal'!Q80,0)</f>
        <v>0</v>
      </c>
      <c r="Q7" s="102">
        <f>IF(Q5&lt;=Inicio!$D$13,+'gastos personal'!R80,0)</f>
        <v>0</v>
      </c>
    </row>
    <row r="8" spans="2:18" ht="16.5" thickTop="1" thickBot="1" x14ac:dyDescent="0.3">
      <c r="B8" s="100" t="s">
        <v>262</v>
      </c>
      <c r="C8" s="101">
        <f>IF(C5&lt;=Inicio!$D$13,+'gastos generales'!C68,0)</f>
        <v>0</v>
      </c>
      <c r="D8" s="101">
        <f>IF(D5&lt;=Inicio!$D$13,+'gastos generales'!D68,0)</f>
        <v>0</v>
      </c>
      <c r="E8" s="101">
        <f>IF(E5&lt;=Inicio!$D$13,+'gastos generales'!E68,0)</f>
        <v>0</v>
      </c>
      <c r="F8" s="101">
        <f>IF(F5&lt;=Inicio!$D$13,+'gastos generales'!F68,0)</f>
        <v>0</v>
      </c>
      <c r="G8" s="101">
        <f>IF(G5&lt;=Inicio!$D$13,+'gastos generales'!G68,0)</f>
        <v>0</v>
      </c>
      <c r="H8" s="102">
        <f>IF(H5&lt;=Inicio!$D$13,+'gastos generales'!H68,0)</f>
        <v>0</v>
      </c>
      <c r="I8" s="102">
        <f>IF(I5&lt;=Inicio!$D$13,+'gastos generales'!I68,0)</f>
        <v>0</v>
      </c>
      <c r="J8" s="102">
        <f>IF(J5&lt;=Inicio!$D$13,+'gastos generales'!J68,0)</f>
        <v>0</v>
      </c>
      <c r="K8" s="102">
        <f>IF(K5&lt;=Inicio!$D$13,+'gastos generales'!K68,0)</f>
        <v>0</v>
      </c>
      <c r="L8" s="102">
        <f>IF(L5&lt;=Inicio!$D$13,+'gastos generales'!L68,0)</f>
        <v>0</v>
      </c>
      <c r="M8" s="102">
        <f>IF(M5&lt;=Inicio!$D$13,+'gastos generales'!M68,0)</f>
        <v>0</v>
      </c>
      <c r="N8" s="102">
        <f>IF(N5&lt;=Inicio!$D$13,+'gastos generales'!N68,0)</f>
        <v>0</v>
      </c>
      <c r="O8" s="102">
        <f>IF(O5&lt;=Inicio!$D$13,+'gastos generales'!O68,0)</f>
        <v>0</v>
      </c>
      <c r="P8" s="102">
        <f>IF(P5&lt;=Inicio!$D$13,+'gastos generales'!P68,0)</f>
        <v>0</v>
      </c>
      <c r="Q8" s="102">
        <f>IF(Q5&lt;=Inicio!$D$13,+'gastos generales'!Q68,0)</f>
        <v>0</v>
      </c>
    </row>
    <row r="9" spans="2:18" ht="16.5" thickTop="1" thickBot="1" x14ac:dyDescent="0.3">
      <c r="B9" s="103" t="s">
        <v>150</v>
      </c>
      <c r="C9" s="102">
        <f t="shared" ref="C9:Q9" si="0">SUM(C6:C8)</f>
        <v>719400800</v>
      </c>
      <c r="D9" s="102">
        <f t="shared" si="0"/>
        <v>885465999</v>
      </c>
      <c r="E9" s="102">
        <f t="shared" si="0"/>
        <v>944570534.22000003</v>
      </c>
      <c r="F9" s="102">
        <f t="shared" si="0"/>
        <v>0</v>
      </c>
      <c r="G9" s="102">
        <f t="shared" si="0"/>
        <v>0</v>
      </c>
      <c r="H9" s="102">
        <f t="shared" si="0"/>
        <v>0</v>
      </c>
      <c r="I9" s="102">
        <f t="shared" si="0"/>
        <v>0</v>
      </c>
      <c r="J9" s="102">
        <f t="shared" si="0"/>
        <v>0</v>
      </c>
      <c r="K9" s="102">
        <f t="shared" si="0"/>
        <v>0</v>
      </c>
      <c r="L9" s="102">
        <f t="shared" si="0"/>
        <v>0</v>
      </c>
      <c r="M9" s="102">
        <f t="shared" si="0"/>
        <v>0</v>
      </c>
      <c r="N9" s="102">
        <f t="shared" si="0"/>
        <v>0</v>
      </c>
      <c r="O9" s="102">
        <f t="shared" si="0"/>
        <v>0</v>
      </c>
      <c r="P9" s="102">
        <f t="shared" si="0"/>
        <v>0</v>
      </c>
      <c r="Q9" s="102">
        <f t="shared" si="0"/>
        <v>0</v>
      </c>
    </row>
    <row r="10" spans="2:18" ht="31.5" thickTop="1" thickBot="1" x14ac:dyDescent="0.3">
      <c r="B10" s="104" t="s">
        <v>271</v>
      </c>
      <c r="C10" s="105">
        <f>Inicio!D19</f>
        <v>0.1</v>
      </c>
      <c r="D10" s="106" t="s">
        <v>0</v>
      </c>
      <c r="E10" s="106" t="s">
        <v>0</v>
      </c>
      <c r="F10" s="106" t="s">
        <v>0</v>
      </c>
      <c r="G10" s="106" t="s">
        <v>0</v>
      </c>
      <c r="H10" s="106" t="s">
        <v>0</v>
      </c>
      <c r="I10" s="106" t="s">
        <v>0</v>
      </c>
      <c r="J10" s="106" t="s">
        <v>0</v>
      </c>
      <c r="K10" s="106" t="s">
        <v>0</v>
      </c>
      <c r="L10" s="106" t="s">
        <v>0</v>
      </c>
      <c r="M10" s="106" t="s">
        <v>0</v>
      </c>
      <c r="N10" s="106" t="s">
        <v>0</v>
      </c>
      <c r="O10" s="106" t="s">
        <v>0</v>
      </c>
      <c r="P10" s="106" t="s">
        <v>0</v>
      </c>
      <c r="Q10" s="106" t="s">
        <v>0</v>
      </c>
      <c r="R10" s="79" t="s">
        <v>0</v>
      </c>
    </row>
    <row r="11" spans="2:18" ht="31.5" thickTop="1" thickBot="1" x14ac:dyDescent="0.3">
      <c r="B11" s="104" t="s">
        <v>270</v>
      </c>
      <c r="C11" s="105">
        <f>Inicio!E19</f>
        <v>0.1</v>
      </c>
      <c r="D11" s="105">
        <f t="shared" ref="D11:Q11" si="1">IF(ISERROR(+D6/D41),"",+D6/D41)</f>
        <v>0.1</v>
      </c>
      <c r="E11" s="105">
        <f t="shared" si="1"/>
        <v>0.1</v>
      </c>
      <c r="F11" s="105" t="str">
        <f t="shared" si="1"/>
        <v/>
      </c>
      <c r="G11" s="105" t="str">
        <f t="shared" si="1"/>
        <v/>
      </c>
      <c r="H11" s="105" t="str">
        <f t="shared" si="1"/>
        <v/>
      </c>
      <c r="I11" s="105" t="str">
        <f t="shared" si="1"/>
        <v/>
      </c>
      <c r="J11" s="105" t="str">
        <f t="shared" si="1"/>
        <v/>
      </c>
      <c r="K11" s="105" t="str">
        <f t="shared" si="1"/>
        <v/>
      </c>
      <c r="L11" s="105" t="str">
        <f t="shared" si="1"/>
        <v/>
      </c>
      <c r="M11" s="105" t="str">
        <f t="shared" si="1"/>
        <v/>
      </c>
      <c r="N11" s="105" t="str">
        <f t="shared" si="1"/>
        <v/>
      </c>
      <c r="O11" s="105" t="str">
        <f t="shared" si="1"/>
        <v/>
      </c>
      <c r="P11" s="105" t="str">
        <f t="shared" si="1"/>
        <v/>
      </c>
      <c r="Q11" s="105" t="str">
        <f t="shared" si="1"/>
        <v/>
      </c>
    </row>
    <row r="12" spans="2:18" ht="31.5" thickTop="1" thickBot="1" x14ac:dyDescent="0.3">
      <c r="B12" s="104" t="s">
        <v>272</v>
      </c>
      <c r="C12" s="105">
        <f>Inicio!F19</f>
        <v>0.1</v>
      </c>
    </row>
    <row r="13" spans="2:18" ht="14.25" thickTop="1" thickBot="1" x14ac:dyDescent="0.25"/>
    <row r="14" spans="2:18" ht="16.5" thickBot="1" x14ac:dyDescent="0.25">
      <c r="B14" s="288" t="s">
        <v>332</v>
      </c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</row>
    <row r="15" spans="2:18" ht="16.5" thickTop="1" thickBot="1" x14ac:dyDescent="0.3">
      <c r="B15" s="99" t="s">
        <v>6</v>
      </c>
      <c r="C15" s="99">
        <v>1</v>
      </c>
      <c r="D15" s="99">
        <v>2</v>
      </c>
      <c r="E15" s="99">
        <v>3</v>
      </c>
      <c r="F15" s="99">
        <v>4</v>
      </c>
      <c r="G15" s="99">
        <v>5</v>
      </c>
      <c r="H15" s="99">
        <v>6</v>
      </c>
      <c r="I15" s="99">
        <v>7</v>
      </c>
      <c r="J15" s="99">
        <v>8</v>
      </c>
      <c r="K15" s="99">
        <v>9</v>
      </c>
      <c r="L15" s="99">
        <v>10</v>
      </c>
      <c r="M15" s="99">
        <v>11</v>
      </c>
      <c r="N15" s="99">
        <v>12</v>
      </c>
      <c r="O15" s="99">
        <v>13</v>
      </c>
      <c r="P15" s="99">
        <v>14</v>
      </c>
      <c r="Q15" s="99">
        <v>15</v>
      </c>
    </row>
    <row r="16" spans="2:18" ht="16.5" thickTop="1" thickBot="1" x14ac:dyDescent="0.3">
      <c r="B16" s="100" t="s">
        <v>60</v>
      </c>
      <c r="C16" s="107"/>
      <c r="D16" s="107"/>
      <c r="E16" s="107"/>
      <c r="F16" s="107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</row>
    <row r="17" spans="2:18" ht="16.5" thickTop="1" thickBot="1" x14ac:dyDescent="0.3">
      <c r="B17" s="100" t="str">
        <f>Inicio!C24</f>
        <v>Web 2 E Vistitic</v>
      </c>
      <c r="C17" s="107">
        <f>Inicio!D24</f>
        <v>26</v>
      </c>
      <c r="D17" s="107">
        <f>IF($C17&gt;0,IF(D$5&lt;=Inicio!$D$13,+(D$24)*$C$24,0),0)</f>
        <v>87.75</v>
      </c>
      <c r="E17" s="108">
        <f>IF($C17&gt;0,IF(E5&lt;=Inicio!$D$13,+(E24)*$C$24,0),0)</f>
        <v>117</v>
      </c>
      <c r="F17" s="108">
        <f>IF($C17&gt;0,IF(F5&lt;=Inicio!$D$13,+(F24)*$C$24,0),0)</f>
        <v>0</v>
      </c>
      <c r="G17" s="108">
        <f>IF($C17&gt;0,IF(G5&lt;=Inicio!$D$13,+(G24)*$C$24,0),0)</f>
        <v>0</v>
      </c>
      <c r="H17" s="108">
        <f>IF($C17&gt;0,IF(H5&lt;=Inicio!$D$13,+(H24)*$C$24,0),0)</f>
        <v>0</v>
      </c>
      <c r="I17" s="108">
        <f>IF($C17&gt;0,IF(I$5&lt;=Inicio!$D$13,+(I$24)*$C$24,0),0)</f>
        <v>0</v>
      </c>
      <c r="J17" s="108">
        <f>IF($C17&gt;0,IF(J$5&lt;=Inicio!$D$13,+(J$24)*$C$24,0),0)</f>
        <v>0</v>
      </c>
      <c r="K17" s="108">
        <f>IF($C17&gt;0,IF(K$5&lt;=Inicio!$D$13,+(K$24)*$C$24,0),0)</f>
        <v>0</v>
      </c>
      <c r="L17" s="108">
        <f>IF($C17&gt;0,IF(L$5&lt;=Inicio!$D$13,+(L$24)*$C$24,0),0)</f>
        <v>0</v>
      </c>
      <c r="M17" s="108">
        <f>IF($C17&gt;0,IF(M$5&lt;=Inicio!$D$13,+(M$24)*$C$24,0),0)</f>
        <v>0</v>
      </c>
      <c r="N17" s="108">
        <f>IF($C17&gt;0,IF(N$5&lt;=Inicio!$D$13,+(N$24)*$C$24,0),0)</f>
        <v>0</v>
      </c>
      <c r="O17" s="108">
        <f>IF($C17&gt;0,IF(O$5&lt;=Inicio!$D$13,+(O$24)*$C$24,0),0)</f>
        <v>0</v>
      </c>
      <c r="P17" s="108">
        <f>IF($C17&gt;0,IF(P$5&lt;=Inicio!$D$13,+(P$24)*$C$24,0),0)</f>
        <v>0</v>
      </c>
      <c r="Q17" s="108">
        <f>IF($C17&gt;0,IF(Q$5&lt;=Inicio!$D$13,+(Q$24)*$C$24,0),0)</f>
        <v>0</v>
      </c>
      <c r="R17" s="109"/>
    </row>
    <row r="18" spans="2:18" ht="16.5" thickTop="1" thickBot="1" x14ac:dyDescent="0.3">
      <c r="B18" s="107" t="str">
        <f>Inicio!C25</f>
        <v>Kit E Vistetic</v>
      </c>
      <c r="C18" s="107">
        <f>Inicio!D25</f>
        <v>7980</v>
      </c>
      <c r="D18" s="107">
        <f>IF($C18&gt;0,IF(D$5&lt;=Inicio!$D$13,+(D$25)*$C$25,0),0)</f>
        <v>13450.5</v>
      </c>
      <c r="E18" s="107">
        <f>IF($C18&gt;0,IF(E$5&lt;=Inicio!$D$13,+(E$25)*$C$25,0),0)</f>
        <v>13450.5</v>
      </c>
      <c r="F18" s="107">
        <f>IF($C18&gt;0,IF(F$5&lt;=Inicio!$D$13,+(F$25)*$C$25,0),0)</f>
        <v>0</v>
      </c>
      <c r="G18" s="107">
        <f>IF($C18&gt;0,IF(G$5&lt;=Inicio!$D$13,+(G$25)*$C$25,0),0)</f>
        <v>0</v>
      </c>
      <c r="H18" s="108">
        <f>IF($C18&gt;0,IF(H$5&lt;=Inicio!$D$13,+(H$25)*$C$25,0),0)</f>
        <v>0</v>
      </c>
      <c r="I18" s="108">
        <f>IF($C18&gt;0,IF(I$5&lt;=Inicio!$D$13,+(I$25)*$C$25,0),0)</f>
        <v>0</v>
      </c>
      <c r="J18" s="108">
        <f>IF($C18&gt;0,IF(J$5&lt;=Inicio!$D$13,+(J$25)*$C$25,0),0)</f>
        <v>0</v>
      </c>
      <c r="K18" s="108">
        <f>IF($C18&gt;0,IF(K$5&lt;=Inicio!$D$13,+(K$25)*$C$25,0),0)</f>
        <v>0</v>
      </c>
      <c r="L18" s="108">
        <f>IF($C18&gt;0,IF(L$5&lt;=Inicio!$D$13,+(L$25)*$C$25,0),0)</f>
        <v>0</v>
      </c>
      <c r="M18" s="108">
        <f>IF($C18&gt;0,IF(M$5&lt;=Inicio!$D$13,+(M$25)*$C$25,0),0)</f>
        <v>0</v>
      </c>
      <c r="N18" s="108">
        <f>IF($C18&gt;0,IF(N$5&lt;=Inicio!$D$13,+(N$25)*$C$25,0),0)</f>
        <v>0</v>
      </c>
      <c r="O18" s="108">
        <f>IF($C18&gt;0,IF(O$5&lt;=Inicio!$D$13,+(O$25)*$C$25,0),0)</f>
        <v>0</v>
      </c>
      <c r="P18" s="108">
        <f>IF($C18&gt;0,IF(P$5&lt;=Inicio!$D$13,+(P$25)*$C$25,0),0)</f>
        <v>0</v>
      </c>
      <c r="Q18" s="108">
        <f>IF($C18&gt;0,IF(Q$5&lt;=Inicio!$D$13,+(Q$25)*$C$25,0),0)</f>
        <v>0</v>
      </c>
      <c r="R18" s="109"/>
    </row>
    <row r="19" spans="2:18" ht="16.5" thickTop="1" thickBot="1" x14ac:dyDescent="0.3">
      <c r="B19" s="107" t="str">
        <f>Inicio!C26</f>
        <v>Formula Magistral</v>
      </c>
      <c r="C19" s="107">
        <f>Inicio!D26</f>
        <v>2500</v>
      </c>
      <c r="D19" s="107">
        <f>IF($C19&gt;0,IF(D$5&lt;=Inicio!$D$13,+(D$26)*$C$26,0),0)</f>
        <v>4500</v>
      </c>
      <c r="E19" s="107">
        <f>IF($C19&gt;0,IF(E$5&lt;=Inicio!$D$13,+(E$26)*$C$26,0),0)</f>
        <v>6000</v>
      </c>
      <c r="F19" s="107">
        <f>IF($C19&gt;0,IF(F$5&lt;=Inicio!$D$13,+(F$26)*$C$26,0),0)</f>
        <v>0</v>
      </c>
      <c r="G19" s="107">
        <f>IF($C19&gt;0,IF(G$5&lt;=Inicio!$D$13,+(G$26)*$C$26,0),0)</f>
        <v>0</v>
      </c>
      <c r="H19" s="108">
        <f>IF($C19&gt;0,IF(H$5&lt;=Inicio!$D$13,+(H$26)*$C$26,0),0)</f>
        <v>0</v>
      </c>
      <c r="I19" s="108">
        <f>IF($C19&gt;0,IF(I$5&lt;=Inicio!$D$13,+(I$26)*$C$26,0),0)</f>
        <v>0</v>
      </c>
      <c r="J19" s="108">
        <f>IF($C19&gt;0,IF(J$5&lt;=Inicio!$D$13,+(J$26)*$C$26,0),0)</f>
        <v>0</v>
      </c>
      <c r="K19" s="108">
        <f>IF($C19&gt;0,IF(K$5&lt;=Inicio!$D$13,+(K$26)*$C$26,0),0)</f>
        <v>0</v>
      </c>
      <c r="L19" s="108">
        <f>IF($C19&gt;0,IF(L$5&lt;=Inicio!$D$13,+(L$26)*$C$26,0),0)</f>
        <v>0</v>
      </c>
      <c r="M19" s="108">
        <f>IF($C19&gt;0,IF(M$5&lt;=Inicio!$D$13,+(M$26)*$C$26,0),0)</f>
        <v>0</v>
      </c>
      <c r="N19" s="108">
        <f>IF($C19&gt;0,IF(N$5&lt;=Inicio!$D$13,+(N$26)*$C$26,0),0)</f>
        <v>0</v>
      </c>
      <c r="O19" s="108">
        <f>IF($C19&gt;0,IF(O$5&lt;=Inicio!$D$13,+(O$26)*$C$26,0),0)</f>
        <v>0</v>
      </c>
      <c r="P19" s="108">
        <f>IF($C19&gt;0,IF(P$5&lt;=Inicio!$D$13,+(P$26)*$C$26,0),0)</f>
        <v>0</v>
      </c>
      <c r="Q19" s="108">
        <f>IF($C19&gt;0,IF(Q$5&lt;=Inicio!$D$13,+(Q$26)*$C$26,0),0)</f>
        <v>0</v>
      </c>
      <c r="R19" s="109"/>
    </row>
    <row r="20" spans="2:18" ht="16.5" thickTop="1" thickBot="1" x14ac:dyDescent="0.3">
      <c r="B20" s="103" t="s">
        <v>150</v>
      </c>
      <c r="C20" s="110">
        <f>SUM(C17:C19)</f>
        <v>10506</v>
      </c>
      <c r="D20" s="110">
        <f t="shared" ref="D20:Q20" si="2">SUM(D17:D19)</f>
        <v>18038.25</v>
      </c>
      <c r="E20" s="110">
        <f t="shared" si="2"/>
        <v>19567.5</v>
      </c>
      <c r="F20" s="110">
        <f t="shared" si="2"/>
        <v>0</v>
      </c>
      <c r="G20" s="110">
        <f t="shared" si="2"/>
        <v>0</v>
      </c>
      <c r="H20" s="110">
        <f t="shared" si="2"/>
        <v>0</v>
      </c>
      <c r="I20" s="110">
        <f t="shared" si="2"/>
        <v>0</v>
      </c>
      <c r="J20" s="110">
        <f t="shared" si="2"/>
        <v>0</v>
      </c>
      <c r="K20" s="110">
        <f t="shared" si="2"/>
        <v>0</v>
      </c>
      <c r="L20" s="110">
        <f t="shared" si="2"/>
        <v>0</v>
      </c>
      <c r="M20" s="110">
        <f t="shared" si="2"/>
        <v>0</v>
      </c>
      <c r="N20" s="110">
        <f t="shared" si="2"/>
        <v>0</v>
      </c>
      <c r="O20" s="110">
        <f t="shared" si="2"/>
        <v>0</v>
      </c>
      <c r="P20" s="110">
        <f t="shared" si="2"/>
        <v>0</v>
      </c>
      <c r="Q20" s="110">
        <f t="shared" si="2"/>
        <v>0</v>
      </c>
    </row>
    <row r="21" spans="2:18" ht="14.25" thickTop="1" thickBot="1" x14ac:dyDescent="0.25">
      <c r="C21" s="111"/>
      <c r="D21" s="112"/>
    </row>
    <row r="22" spans="2:18" ht="16.5" thickBot="1" x14ac:dyDescent="0.25">
      <c r="B22" s="288" t="s">
        <v>331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</row>
    <row r="23" spans="2:18" ht="20.25" thickTop="1" thickBot="1" x14ac:dyDescent="0.35">
      <c r="B23" s="289" t="s">
        <v>273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1"/>
    </row>
    <row r="24" spans="2:18" ht="16.5" thickTop="1" thickBot="1" x14ac:dyDescent="0.3">
      <c r="B24" s="100" t="str">
        <f>"Capacidad Instalada " &amp; Inicio!C24</f>
        <v>Capacidad Instalada Web 2 E Vistitic</v>
      </c>
      <c r="C24" s="113">
        <f>Inicio!F24</f>
        <v>117</v>
      </c>
      <c r="D24" s="114">
        <f>Inicio!D29</f>
        <v>0.75</v>
      </c>
      <c r="E24" s="114">
        <f>Inicio!D30</f>
        <v>1</v>
      </c>
      <c r="F24" s="114">
        <f>Inicio!D31</f>
        <v>0</v>
      </c>
      <c r="G24" s="114">
        <f>Inicio!D32</f>
        <v>0</v>
      </c>
      <c r="H24" s="105">
        <f>Inicio!D33</f>
        <v>0</v>
      </c>
      <c r="I24" s="105">
        <f>Inicio!D34</f>
        <v>0</v>
      </c>
      <c r="J24" s="105">
        <f>Inicio!D35</f>
        <v>0</v>
      </c>
      <c r="K24" s="105">
        <f>Inicio!D36</f>
        <v>0</v>
      </c>
      <c r="L24" s="105">
        <f>Inicio!D37</f>
        <v>0</v>
      </c>
      <c r="M24" s="105">
        <f>Inicio!D38</f>
        <v>0</v>
      </c>
      <c r="N24" s="105">
        <f>Inicio!D39</f>
        <v>0</v>
      </c>
      <c r="O24" s="105">
        <f>Inicio!D40</f>
        <v>0</v>
      </c>
      <c r="P24" s="105">
        <f>Inicio!D41</f>
        <v>0</v>
      </c>
      <c r="Q24" s="105">
        <f>Inicio!D42</f>
        <v>0</v>
      </c>
    </row>
    <row r="25" spans="2:18" ht="16.5" thickTop="1" thickBot="1" x14ac:dyDescent="0.3">
      <c r="B25" s="100" t="str">
        <f>"Capacidad Instalada " &amp; Inicio!C25</f>
        <v>Capacidad Instalada Kit E Vistetic</v>
      </c>
      <c r="C25" s="113">
        <f>Inicio!F25</f>
        <v>17934</v>
      </c>
      <c r="D25" s="114">
        <f>Inicio!E29</f>
        <v>0.75</v>
      </c>
      <c r="E25" s="114">
        <f>Inicio!E29</f>
        <v>0.75</v>
      </c>
      <c r="F25" s="114">
        <f>Inicio!E31</f>
        <v>0</v>
      </c>
      <c r="G25" s="114">
        <f>Inicio!$E32</f>
        <v>0</v>
      </c>
      <c r="H25" s="105">
        <f>Inicio!$E33</f>
        <v>0</v>
      </c>
      <c r="I25" s="105">
        <f>Inicio!$E34</f>
        <v>0</v>
      </c>
      <c r="J25" s="105">
        <f>Inicio!$E35</f>
        <v>0</v>
      </c>
      <c r="K25" s="105">
        <f>Inicio!$E36</f>
        <v>0</v>
      </c>
      <c r="L25" s="105">
        <f>Inicio!$E37</f>
        <v>0</v>
      </c>
      <c r="M25" s="105">
        <f>Inicio!$E38</f>
        <v>0</v>
      </c>
      <c r="N25" s="105">
        <f>Inicio!$E39</f>
        <v>0</v>
      </c>
      <c r="O25" s="105">
        <f>Inicio!$E40</f>
        <v>0</v>
      </c>
      <c r="P25" s="105">
        <f>Inicio!$E41</f>
        <v>0</v>
      </c>
      <c r="Q25" s="105">
        <f>Inicio!$E42</f>
        <v>0</v>
      </c>
    </row>
    <row r="26" spans="2:18" ht="16.5" thickTop="1" thickBot="1" x14ac:dyDescent="0.3">
      <c r="B26" s="100" t="str">
        <f>"Capacidad Instalada " &amp; Inicio!C26</f>
        <v>Capacidad Instalada Formula Magistral</v>
      </c>
      <c r="C26" s="113">
        <f>Inicio!F26</f>
        <v>6000</v>
      </c>
      <c r="D26" s="114">
        <f>Inicio!$F29</f>
        <v>0.75</v>
      </c>
      <c r="E26" s="114">
        <f>Inicio!$F30</f>
        <v>1</v>
      </c>
      <c r="F26" s="114">
        <f>Inicio!$F31</f>
        <v>0</v>
      </c>
      <c r="G26" s="114">
        <f>Inicio!$F32</f>
        <v>0</v>
      </c>
      <c r="H26" s="105">
        <f>Inicio!$F33</f>
        <v>0</v>
      </c>
      <c r="I26" s="105">
        <f>Inicio!$F34</f>
        <v>0</v>
      </c>
      <c r="J26" s="105">
        <f>Inicio!$F35</f>
        <v>0</v>
      </c>
      <c r="K26" s="105">
        <f>Inicio!$F36</f>
        <v>0</v>
      </c>
      <c r="L26" s="105">
        <f>Inicio!$F37</f>
        <v>0</v>
      </c>
      <c r="M26" s="105">
        <f>Inicio!$F38</f>
        <v>0</v>
      </c>
      <c r="N26" s="105">
        <f>Inicio!$F39</f>
        <v>0</v>
      </c>
      <c r="O26" s="105">
        <f>Inicio!$F40</f>
        <v>0</v>
      </c>
      <c r="P26" s="105">
        <f>Inicio!$F41</f>
        <v>0</v>
      </c>
      <c r="Q26" s="105">
        <f>Inicio!$F42</f>
        <v>0</v>
      </c>
    </row>
    <row r="27" spans="2:18" ht="14.25" thickTop="1" thickBot="1" x14ac:dyDescent="0.25"/>
    <row r="28" spans="2:18" ht="16.5" thickBot="1" x14ac:dyDescent="0.25">
      <c r="B28" s="288" t="s">
        <v>330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</row>
    <row r="29" spans="2:18" ht="16.5" thickTop="1" thickBot="1" x14ac:dyDescent="0.3">
      <c r="B29" s="99" t="s">
        <v>198</v>
      </c>
      <c r="C29" s="99">
        <v>1</v>
      </c>
      <c r="D29" s="99">
        <v>2</v>
      </c>
      <c r="E29" s="99">
        <v>3</v>
      </c>
      <c r="F29" s="99">
        <v>4</v>
      </c>
      <c r="G29" s="99">
        <v>5</v>
      </c>
      <c r="H29" s="99">
        <v>6</v>
      </c>
      <c r="I29" s="99">
        <v>7</v>
      </c>
      <c r="J29" s="99">
        <v>8</v>
      </c>
      <c r="K29" s="99">
        <v>9</v>
      </c>
      <c r="L29" s="99">
        <v>10</v>
      </c>
      <c r="M29" s="99">
        <v>11</v>
      </c>
      <c r="N29" s="99">
        <v>12</v>
      </c>
      <c r="O29" s="99">
        <v>13</v>
      </c>
      <c r="P29" s="99">
        <v>14</v>
      </c>
      <c r="Q29" s="99">
        <v>15</v>
      </c>
    </row>
    <row r="30" spans="2:18" ht="16.5" thickTop="1" thickBot="1" x14ac:dyDescent="0.3">
      <c r="B30" s="108" t="str">
        <f>B17</f>
        <v>Web 2 E Vistitic</v>
      </c>
      <c r="C30" s="102">
        <f>Inicio!E24</f>
        <v>1900000</v>
      </c>
      <c r="D30" s="102">
        <f>IF(D5&lt;=Inicio!$D$13,+(C30*$C$34)+C30,0)</f>
        <v>1995000</v>
      </c>
      <c r="E30" s="102">
        <f>IF(E5&lt;=Inicio!$D$13,+(D30*$C$34)+D30,0)</f>
        <v>2094750</v>
      </c>
      <c r="F30" s="102">
        <f>IF(F5&lt;=Inicio!$D$13,+(E30*$C$34)+E30,0)</f>
        <v>0</v>
      </c>
      <c r="G30" s="102">
        <f>IF(G5&lt;=Inicio!$D$13,+(F30*$C$34)+F30,0)</f>
        <v>0</v>
      </c>
      <c r="H30" s="102">
        <f>IF(H5&lt;=Inicio!$D$13,+(G30*$C$34)+G30,0)</f>
        <v>0</v>
      </c>
      <c r="I30" s="102">
        <f>IF(I5&lt;=Inicio!$D$13,+(H30*$C$34)+H30,0)</f>
        <v>0</v>
      </c>
      <c r="J30" s="102">
        <f>IF(J5&lt;=Inicio!$D$13,+(I30*$C$34)+I30,0)</f>
        <v>0</v>
      </c>
      <c r="K30" s="102">
        <f>IF(K5&lt;=Inicio!$D$13,+(J30*$C$34)+J30,0)</f>
        <v>0</v>
      </c>
      <c r="L30" s="102">
        <f>IF(L5&lt;=Inicio!$D$13,+(K30*$C$34)+K30,0)</f>
        <v>0</v>
      </c>
      <c r="M30" s="102">
        <f>IF(M5&lt;=Inicio!$D$13,+(L30*$C$34)+L30,0)</f>
        <v>0</v>
      </c>
      <c r="N30" s="102">
        <f>IF(N5&lt;=Inicio!$D$13,+(M30*$C$34)+M30,0)</f>
        <v>0</v>
      </c>
      <c r="O30" s="102">
        <f>IF(O5&lt;=Inicio!$D$13,+(N30*$C$34)+N30,0)</f>
        <v>0</v>
      </c>
      <c r="P30" s="102">
        <f>IF(P5&lt;=Inicio!$D$13,+(O30*$C$34)+O30,0)</f>
        <v>0</v>
      </c>
      <c r="Q30" s="102">
        <f>IF(Q5&lt;=Inicio!$D$13,+(P30*$C$34)+P30,0)</f>
        <v>0</v>
      </c>
    </row>
    <row r="31" spans="2:18" ht="16.5" thickTop="1" thickBot="1" x14ac:dyDescent="0.3">
      <c r="B31" s="108" t="str">
        <f>B18</f>
        <v>Kit E Vistetic</v>
      </c>
      <c r="C31" s="102">
        <f>Inicio!E25</f>
        <v>180000</v>
      </c>
      <c r="D31" s="102">
        <f>IF(D5&lt;=Inicio!$D$13,+(C31*$C$34)+C31,0)</f>
        <v>189000</v>
      </c>
      <c r="E31" s="102">
        <f>IF(E5&lt;=Inicio!$D$13,+(D31*$C$34)+D31,0)</f>
        <v>198450</v>
      </c>
      <c r="F31" s="102">
        <f>IF(F5&lt;=Inicio!$D$13,+(E31*$C$34)+E31,0)</f>
        <v>0</v>
      </c>
      <c r="G31" s="102">
        <f>IF(G5&lt;=Inicio!$D$13,+(F31*$C$34)+F31,0)</f>
        <v>0</v>
      </c>
      <c r="H31" s="102">
        <f>IF(H5&lt;=Inicio!$D$13,+(G31*$C$34)+G31,0)</f>
        <v>0</v>
      </c>
      <c r="I31" s="102">
        <f>IF(I5&lt;=Inicio!$D$13,+(H31*$C$34)+H31,0)</f>
        <v>0</v>
      </c>
      <c r="J31" s="102">
        <f>IF(J5&lt;=Inicio!$D$13,+(I31*$C$34)+I31,0)</f>
        <v>0</v>
      </c>
      <c r="K31" s="102">
        <f>IF(K5&lt;=Inicio!$D$13,+(J31*$C$34)+J31,0)</f>
        <v>0</v>
      </c>
      <c r="L31" s="102">
        <f>IF(L5&lt;=Inicio!$D$13,+(K31*$C$34)+K31,0)</f>
        <v>0</v>
      </c>
      <c r="M31" s="102">
        <f>IF(M5&lt;=Inicio!$D$13,+(L31*$C$34)+L31,0)</f>
        <v>0</v>
      </c>
      <c r="N31" s="102">
        <f>IF(N5&lt;=Inicio!$D$13,+(M31*$C$34)+M31,0)</f>
        <v>0</v>
      </c>
      <c r="O31" s="102">
        <f>IF(O5&lt;=Inicio!$D$13,+(N31*$C$34)+N31,0)</f>
        <v>0</v>
      </c>
      <c r="P31" s="102">
        <f>IF(P5&lt;=Inicio!$D$13,+(O31*$C$34)+O31,0)</f>
        <v>0</v>
      </c>
      <c r="Q31" s="102">
        <f>IF(Q5&lt;=Inicio!$D$13,+(P31*$C$34)+P31,0)</f>
        <v>0</v>
      </c>
    </row>
    <row r="32" spans="2:18" ht="16.5" thickTop="1" thickBot="1" x14ac:dyDescent="0.3">
      <c r="B32" s="108" t="str">
        <f>B19</f>
        <v>Formula Magistral</v>
      </c>
      <c r="C32" s="102">
        <f>Inicio!E26</f>
        <v>120000</v>
      </c>
      <c r="D32" s="102">
        <f>IF(D5&lt;=Inicio!$D$13,+(C32*$C$34)+C32,0)</f>
        <v>126000</v>
      </c>
      <c r="E32" s="102">
        <f>IF(E5&lt;=Inicio!$D$13,+(D32*$C$34)+D32,0)</f>
        <v>132300</v>
      </c>
      <c r="F32" s="102">
        <f>IF(F5&lt;=Inicio!$D$13,+(E32*$C$34)+E32,0)</f>
        <v>0</v>
      </c>
      <c r="G32" s="102">
        <f>IF(G5&lt;=Inicio!$D$13,+(F32*$C$34)+F32,0)</f>
        <v>0</v>
      </c>
      <c r="H32" s="102">
        <f>IF(H5&lt;=Inicio!$D$13,+(G32*$C$34)+G32,0)</f>
        <v>0</v>
      </c>
      <c r="I32" s="102">
        <f>IF(I5&lt;=Inicio!$D$13,+(H32*$C$34)+H32,0)</f>
        <v>0</v>
      </c>
      <c r="J32" s="102">
        <f>IF(J5&lt;=Inicio!$D$13,+(I32*$C$34)+I32,0)</f>
        <v>0</v>
      </c>
      <c r="K32" s="102">
        <f>IF(K5&lt;=Inicio!$D$13,+(J32*$C$34)+J32,0)</f>
        <v>0</v>
      </c>
      <c r="L32" s="102">
        <f>IF(L5&lt;=Inicio!$D$13,+(K32*$C$34)+K32,0)</f>
        <v>0</v>
      </c>
      <c r="M32" s="102">
        <f>IF(M5&lt;=Inicio!$D$13,+(L32*$C$34)+L32,0)</f>
        <v>0</v>
      </c>
      <c r="N32" s="102">
        <f>IF(N5&lt;=Inicio!$D$13,+(M32*$C$34)+M32,0)</f>
        <v>0</v>
      </c>
      <c r="O32" s="102">
        <f>IF(O5&lt;=Inicio!$D$13,+(N32*$C$34)+N32,0)</f>
        <v>0</v>
      </c>
      <c r="P32" s="102">
        <f>IF(P5&lt;=Inicio!$D$13,+(O32*$C$34)+O32,0)</f>
        <v>0</v>
      </c>
      <c r="Q32" s="102">
        <f>IF(Q5&lt;=Inicio!$D$13,+(P32*$C$34)+P32,0)</f>
        <v>0</v>
      </c>
    </row>
    <row r="33" spans="2:18" ht="14.25" thickTop="1" thickBot="1" x14ac:dyDescent="0.25"/>
    <row r="34" spans="2:18" ht="13.5" thickBot="1" x14ac:dyDescent="0.25">
      <c r="B34" s="115" t="s">
        <v>151</v>
      </c>
      <c r="C34" s="116">
        <v>0.05</v>
      </c>
      <c r="E34" s="106" t="s">
        <v>0</v>
      </c>
      <c r="F34" s="106" t="s">
        <v>0</v>
      </c>
      <c r="G34" s="106" t="s">
        <v>0</v>
      </c>
      <c r="H34" s="106" t="s">
        <v>0</v>
      </c>
      <c r="I34" s="106" t="s">
        <v>0</v>
      </c>
      <c r="J34" s="106" t="s">
        <v>0</v>
      </c>
      <c r="K34" s="106" t="s">
        <v>0</v>
      </c>
      <c r="L34" s="106" t="s">
        <v>0</v>
      </c>
      <c r="M34" s="106" t="s">
        <v>0</v>
      </c>
      <c r="N34" s="106" t="s">
        <v>0</v>
      </c>
      <c r="O34" s="106" t="s">
        <v>0</v>
      </c>
      <c r="P34" s="106" t="s">
        <v>0</v>
      </c>
      <c r="Q34" s="106" t="s">
        <v>63</v>
      </c>
      <c r="R34" s="79" t="s">
        <v>0</v>
      </c>
    </row>
    <row r="35" spans="2:18" ht="13.5" thickBot="1" x14ac:dyDescent="0.25"/>
    <row r="36" spans="2:18" ht="16.5" thickBot="1" x14ac:dyDescent="0.25">
      <c r="B36" s="288" t="s">
        <v>329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</row>
    <row r="37" spans="2:18" ht="16.5" thickTop="1" thickBot="1" x14ac:dyDescent="0.3">
      <c r="B37" s="99" t="s">
        <v>300</v>
      </c>
      <c r="C37" s="99">
        <v>1</v>
      </c>
      <c r="D37" s="99">
        <v>2</v>
      </c>
      <c r="E37" s="99">
        <v>3</v>
      </c>
      <c r="F37" s="99">
        <v>4</v>
      </c>
      <c r="G37" s="99">
        <v>5</v>
      </c>
      <c r="H37" s="99">
        <v>6</v>
      </c>
      <c r="I37" s="99">
        <v>7</v>
      </c>
      <c r="J37" s="99">
        <v>8</v>
      </c>
      <c r="K37" s="99">
        <v>9</v>
      </c>
      <c r="L37" s="99">
        <v>10</v>
      </c>
      <c r="M37" s="99">
        <v>11</v>
      </c>
      <c r="N37" s="99">
        <v>12</v>
      </c>
      <c r="O37" s="99">
        <v>13</v>
      </c>
      <c r="P37" s="99">
        <v>14</v>
      </c>
      <c r="Q37" s="99">
        <v>15</v>
      </c>
    </row>
    <row r="38" spans="2:18" ht="16.5" thickTop="1" thickBot="1" x14ac:dyDescent="0.3">
      <c r="B38" s="100" t="str">
        <f>B30</f>
        <v>Web 2 E Vistitic</v>
      </c>
      <c r="C38" s="113">
        <f>+C30*C17</f>
        <v>49400000</v>
      </c>
      <c r="D38" s="113">
        <f t="shared" ref="D38:Q38" si="3">+D30*D17</f>
        <v>175061250</v>
      </c>
      <c r="E38" s="113">
        <f t="shared" si="3"/>
        <v>245085750</v>
      </c>
      <c r="F38" s="113">
        <f t="shared" si="3"/>
        <v>0</v>
      </c>
      <c r="G38" s="113">
        <f t="shared" si="3"/>
        <v>0</v>
      </c>
      <c r="H38" s="110">
        <f t="shared" si="3"/>
        <v>0</v>
      </c>
      <c r="I38" s="110">
        <f t="shared" si="3"/>
        <v>0</v>
      </c>
      <c r="J38" s="110">
        <f t="shared" si="3"/>
        <v>0</v>
      </c>
      <c r="K38" s="110">
        <f t="shared" si="3"/>
        <v>0</v>
      </c>
      <c r="L38" s="110">
        <f t="shared" si="3"/>
        <v>0</v>
      </c>
      <c r="M38" s="110">
        <f t="shared" si="3"/>
        <v>0</v>
      </c>
      <c r="N38" s="110">
        <f t="shared" si="3"/>
        <v>0</v>
      </c>
      <c r="O38" s="110">
        <f t="shared" si="3"/>
        <v>0</v>
      </c>
      <c r="P38" s="110">
        <f t="shared" si="3"/>
        <v>0</v>
      </c>
      <c r="Q38" s="110">
        <f t="shared" si="3"/>
        <v>0</v>
      </c>
    </row>
    <row r="39" spans="2:18" ht="16.5" thickTop="1" thickBot="1" x14ac:dyDescent="0.3">
      <c r="B39" s="100" t="str">
        <f>B31</f>
        <v>Kit E Vistetic</v>
      </c>
      <c r="C39" s="113">
        <f t="shared" ref="C39:Q39" si="4">+C31*C18</f>
        <v>1436400000</v>
      </c>
      <c r="D39" s="113">
        <f t="shared" si="4"/>
        <v>2542144500</v>
      </c>
      <c r="E39" s="113">
        <f t="shared" si="4"/>
        <v>2669251725</v>
      </c>
      <c r="F39" s="113">
        <f t="shared" si="4"/>
        <v>0</v>
      </c>
      <c r="G39" s="113">
        <f t="shared" si="4"/>
        <v>0</v>
      </c>
      <c r="H39" s="110">
        <f t="shared" si="4"/>
        <v>0</v>
      </c>
      <c r="I39" s="110">
        <f t="shared" si="4"/>
        <v>0</v>
      </c>
      <c r="J39" s="110">
        <f t="shared" si="4"/>
        <v>0</v>
      </c>
      <c r="K39" s="110">
        <f t="shared" si="4"/>
        <v>0</v>
      </c>
      <c r="L39" s="110">
        <f t="shared" si="4"/>
        <v>0</v>
      </c>
      <c r="M39" s="110">
        <f t="shared" si="4"/>
        <v>0</v>
      </c>
      <c r="N39" s="110">
        <f t="shared" si="4"/>
        <v>0</v>
      </c>
      <c r="O39" s="110">
        <f t="shared" si="4"/>
        <v>0</v>
      </c>
      <c r="P39" s="110">
        <f t="shared" si="4"/>
        <v>0</v>
      </c>
      <c r="Q39" s="110">
        <f t="shared" si="4"/>
        <v>0</v>
      </c>
    </row>
    <row r="40" spans="2:18" ht="16.5" thickTop="1" thickBot="1" x14ac:dyDescent="0.3">
      <c r="B40" s="103" t="s">
        <v>61</v>
      </c>
      <c r="C40" s="110">
        <f t="shared" ref="C40:Q40" si="5">+C32*C19</f>
        <v>300000000</v>
      </c>
      <c r="D40" s="110">
        <f t="shared" si="5"/>
        <v>567000000</v>
      </c>
      <c r="E40" s="110">
        <f t="shared" si="5"/>
        <v>793800000</v>
      </c>
      <c r="F40" s="110">
        <f t="shared" si="5"/>
        <v>0</v>
      </c>
      <c r="G40" s="110">
        <f t="shared" si="5"/>
        <v>0</v>
      </c>
      <c r="H40" s="110">
        <f t="shared" si="5"/>
        <v>0</v>
      </c>
      <c r="I40" s="110">
        <f t="shared" si="5"/>
        <v>0</v>
      </c>
      <c r="J40" s="110">
        <f t="shared" si="5"/>
        <v>0</v>
      </c>
      <c r="K40" s="110">
        <f t="shared" si="5"/>
        <v>0</v>
      </c>
      <c r="L40" s="110">
        <f t="shared" si="5"/>
        <v>0</v>
      </c>
      <c r="M40" s="110">
        <f t="shared" si="5"/>
        <v>0</v>
      </c>
      <c r="N40" s="110">
        <f t="shared" si="5"/>
        <v>0</v>
      </c>
      <c r="O40" s="110">
        <f t="shared" si="5"/>
        <v>0</v>
      </c>
      <c r="P40" s="110">
        <f t="shared" si="5"/>
        <v>0</v>
      </c>
      <c r="Q40" s="110">
        <f t="shared" si="5"/>
        <v>0</v>
      </c>
    </row>
    <row r="41" spans="2:18" ht="16.5" thickTop="1" thickBot="1" x14ac:dyDescent="0.3">
      <c r="B41" s="103" t="s">
        <v>62</v>
      </c>
      <c r="C41" s="117">
        <f>SUM(C38:C40)</f>
        <v>1785800000</v>
      </c>
      <c r="D41" s="117">
        <f>SUM(D38:D40)</f>
        <v>3284205750</v>
      </c>
      <c r="E41" s="117">
        <f t="shared" ref="E41:Q41" si="6">SUM(E38:E40)</f>
        <v>3708137475</v>
      </c>
      <c r="F41" s="117">
        <f t="shared" si="6"/>
        <v>0</v>
      </c>
      <c r="G41" s="117">
        <f t="shared" si="6"/>
        <v>0</v>
      </c>
      <c r="H41" s="118">
        <f t="shared" si="6"/>
        <v>0</v>
      </c>
      <c r="I41" s="118">
        <f t="shared" si="6"/>
        <v>0</v>
      </c>
      <c r="J41" s="118">
        <f t="shared" si="6"/>
        <v>0</v>
      </c>
      <c r="K41" s="118">
        <f t="shared" si="6"/>
        <v>0</v>
      </c>
      <c r="L41" s="118">
        <f t="shared" si="6"/>
        <v>0</v>
      </c>
      <c r="M41" s="118">
        <f t="shared" si="6"/>
        <v>0</v>
      </c>
      <c r="N41" s="118">
        <f t="shared" si="6"/>
        <v>0</v>
      </c>
      <c r="O41" s="118">
        <f t="shared" si="6"/>
        <v>0</v>
      </c>
      <c r="P41" s="118">
        <f t="shared" si="6"/>
        <v>0</v>
      </c>
      <c r="Q41" s="118">
        <f t="shared" si="6"/>
        <v>0</v>
      </c>
    </row>
    <row r="42" spans="2:18" ht="13.5" thickTop="1" x14ac:dyDescent="0.2">
      <c r="D42" s="106"/>
      <c r="E42" s="106"/>
      <c r="F42" s="106">
        <f>+F41/E41-1</f>
        <v>-1</v>
      </c>
      <c r="G42" s="106" t="e">
        <f>+G41/F41-1</f>
        <v>#DIV/0!</v>
      </c>
    </row>
    <row r="43" spans="2:18" ht="13.5" thickBot="1" x14ac:dyDescent="0.25"/>
    <row r="44" spans="2:18" ht="16.5" thickBot="1" x14ac:dyDescent="0.25">
      <c r="B44" s="288" t="s">
        <v>276</v>
      </c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</row>
    <row r="45" spans="2:18" ht="16.5" thickTop="1" thickBot="1" x14ac:dyDescent="0.3">
      <c r="B45" s="99" t="s">
        <v>301</v>
      </c>
      <c r="C45" s="99">
        <v>1</v>
      </c>
      <c r="D45" s="99">
        <v>2</v>
      </c>
      <c r="E45" s="99">
        <v>3</v>
      </c>
      <c r="F45" s="99">
        <v>4</v>
      </c>
      <c r="G45" s="99">
        <v>5</v>
      </c>
      <c r="H45" s="99">
        <v>6</v>
      </c>
      <c r="I45" s="99">
        <v>7</v>
      </c>
      <c r="J45" s="99">
        <v>8</v>
      </c>
      <c r="K45" s="99">
        <v>9</v>
      </c>
      <c r="L45" s="99">
        <v>10</v>
      </c>
      <c r="M45" s="99">
        <v>11</v>
      </c>
      <c r="N45" s="99">
        <v>12</v>
      </c>
      <c r="O45" s="99">
        <v>13</v>
      </c>
      <c r="P45" s="99">
        <v>14</v>
      </c>
      <c r="Q45" s="99">
        <v>15</v>
      </c>
    </row>
    <row r="46" spans="2:18" ht="16.5" thickTop="1" thickBot="1" x14ac:dyDescent="0.3">
      <c r="B46" s="100" t="s">
        <v>239</v>
      </c>
      <c r="C46" s="101">
        <f>IF(C45&lt;Inicio!$D$13,(+C41*$B$52),0)</f>
        <v>535740000</v>
      </c>
      <c r="D46" s="101">
        <f>IF(D45&lt;Inicio!$D$13,(+D41*$B$52),0)</f>
        <v>985261725</v>
      </c>
      <c r="E46" s="101">
        <f>IF(E45&lt;Inicio!$D$13,(+E41*$B$52),0)</f>
        <v>0</v>
      </c>
      <c r="F46" s="101">
        <f>IF(F45&lt;Inicio!$D$13,(+F41*$B$52),0)</f>
        <v>0</v>
      </c>
      <c r="G46" s="101">
        <f>IF(G45&lt;Inicio!$D$13,(+G41*$B$52),0)</f>
        <v>0</v>
      </c>
      <c r="H46" s="102">
        <f>IF(H45&lt;Inicio!$D$13,(+H41*$B$52),0)</f>
        <v>0</v>
      </c>
      <c r="I46" s="102">
        <f>IF(I45&lt;Inicio!$D$13,(+I41*$B$52),0)</f>
        <v>0</v>
      </c>
      <c r="J46" s="102">
        <f>IF(J45&lt;Inicio!$D$13,(+J41*$B$52),0)</f>
        <v>0</v>
      </c>
      <c r="K46" s="102">
        <f>IF(K45&lt;Inicio!$D$13,(+K41*$B$52),0)</f>
        <v>0</v>
      </c>
      <c r="L46" s="102">
        <f>IF(L45&lt;Inicio!$D$13,(+L41*$B$52),0)</f>
        <v>0</v>
      </c>
      <c r="M46" s="102">
        <f>IF(M45&lt;Inicio!$D$13,(+M41*$B$52),0)</f>
        <v>0</v>
      </c>
      <c r="N46" s="102">
        <f>IF(N45&lt;Inicio!$D$13,(+N41*$B$52),0)</f>
        <v>0</v>
      </c>
      <c r="O46" s="102">
        <f>IF(O45&lt;Inicio!$D$13,(+O41*$B$52),0)</f>
        <v>0</v>
      </c>
      <c r="P46" s="102">
        <f>IF(P45&lt;Inicio!$D$13,(+P41*$B$52),0)</f>
        <v>0</v>
      </c>
      <c r="Q46" s="102">
        <f>IF(Q45&lt;Inicio!$D$13,(+Q41*$B$52),0)</f>
        <v>0</v>
      </c>
    </row>
    <row r="47" spans="2:18" ht="16.5" thickTop="1" thickBot="1" x14ac:dyDescent="0.3">
      <c r="B47" s="100" t="s">
        <v>240</v>
      </c>
      <c r="C47" s="101">
        <f t="shared" ref="C47:Q47" si="7">+C41-C46</f>
        <v>1250060000</v>
      </c>
      <c r="D47" s="101">
        <f t="shared" si="7"/>
        <v>2298944025</v>
      </c>
      <c r="E47" s="101">
        <f t="shared" si="7"/>
        <v>3708137475</v>
      </c>
      <c r="F47" s="101">
        <f t="shared" si="7"/>
        <v>0</v>
      </c>
      <c r="G47" s="101">
        <f t="shared" si="7"/>
        <v>0</v>
      </c>
      <c r="H47" s="102">
        <f t="shared" si="7"/>
        <v>0</v>
      </c>
      <c r="I47" s="102">
        <f t="shared" si="7"/>
        <v>0</v>
      </c>
      <c r="J47" s="102">
        <f t="shared" si="7"/>
        <v>0</v>
      </c>
      <c r="K47" s="102">
        <f t="shared" si="7"/>
        <v>0</v>
      </c>
      <c r="L47" s="102">
        <f t="shared" si="7"/>
        <v>0</v>
      </c>
      <c r="M47" s="102">
        <f t="shared" si="7"/>
        <v>0</v>
      </c>
      <c r="N47" s="102">
        <f t="shared" si="7"/>
        <v>0</v>
      </c>
      <c r="O47" s="102">
        <f t="shared" si="7"/>
        <v>0</v>
      </c>
      <c r="P47" s="102">
        <f t="shared" si="7"/>
        <v>0</v>
      </c>
      <c r="Q47" s="102">
        <f t="shared" si="7"/>
        <v>0</v>
      </c>
    </row>
    <row r="48" spans="2:18" ht="16.5" thickTop="1" thickBot="1" x14ac:dyDescent="0.3">
      <c r="B48" s="103" t="s">
        <v>62</v>
      </c>
      <c r="C48" s="102">
        <f>SUM(C46:C47)</f>
        <v>1785800000</v>
      </c>
      <c r="D48" s="102">
        <f t="shared" ref="D48:Q48" si="8">SUM(D46:D47)</f>
        <v>3284205750</v>
      </c>
      <c r="E48" s="102">
        <f t="shared" si="8"/>
        <v>3708137475</v>
      </c>
      <c r="F48" s="102">
        <f t="shared" si="8"/>
        <v>0</v>
      </c>
      <c r="G48" s="102">
        <f t="shared" si="8"/>
        <v>0</v>
      </c>
      <c r="H48" s="102">
        <f t="shared" si="8"/>
        <v>0</v>
      </c>
      <c r="I48" s="102">
        <f t="shared" si="8"/>
        <v>0</v>
      </c>
      <c r="J48" s="102">
        <f t="shared" si="8"/>
        <v>0</v>
      </c>
      <c r="K48" s="102">
        <f t="shared" si="8"/>
        <v>0</v>
      </c>
      <c r="L48" s="102">
        <f t="shared" si="8"/>
        <v>0</v>
      </c>
      <c r="M48" s="102">
        <f t="shared" si="8"/>
        <v>0</v>
      </c>
      <c r="N48" s="102">
        <f t="shared" si="8"/>
        <v>0</v>
      </c>
      <c r="O48" s="102">
        <f t="shared" si="8"/>
        <v>0</v>
      </c>
      <c r="P48" s="102">
        <f t="shared" si="8"/>
        <v>0</v>
      </c>
      <c r="Q48" s="102">
        <f t="shared" si="8"/>
        <v>0</v>
      </c>
    </row>
    <row r="49" spans="2:2" ht="14.25" thickTop="1" thickBot="1" x14ac:dyDescent="0.25"/>
    <row r="50" spans="2:2" ht="16.5" thickTop="1" thickBot="1" x14ac:dyDescent="0.3">
      <c r="B50" s="100" t="s">
        <v>274</v>
      </c>
    </row>
    <row r="51" spans="2:2" ht="16.5" thickTop="1" thickBot="1" x14ac:dyDescent="0.3">
      <c r="B51" s="100" t="s">
        <v>241</v>
      </c>
    </row>
    <row r="52" spans="2:2" ht="16.5" thickTop="1" thickBot="1" x14ac:dyDescent="0.3">
      <c r="B52" s="114">
        <f>Inicio!F21</f>
        <v>0.3</v>
      </c>
    </row>
    <row r="53" spans="2:2" ht="16.5" thickTop="1" thickBot="1" x14ac:dyDescent="0.3">
      <c r="B53" s="100" t="s">
        <v>242</v>
      </c>
    </row>
    <row r="54" spans="2:2" ht="16.5" thickTop="1" thickBot="1" x14ac:dyDescent="0.3">
      <c r="B54" s="114">
        <f>Inicio!F20</f>
        <v>0.7</v>
      </c>
    </row>
    <row r="55" spans="2:2" ht="13.5" thickTop="1" x14ac:dyDescent="0.2"/>
    <row r="56" spans="2:2" hidden="1" x14ac:dyDescent="0.2"/>
    <row r="57" spans="2:2" hidden="1" x14ac:dyDescent="0.2"/>
    <row r="58" spans="2:2" hidden="1" x14ac:dyDescent="0.2"/>
    <row r="59" spans="2:2" hidden="1" x14ac:dyDescent="0.2"/>
  </sheetData>
  <sheetProtection password="99B7" sheet="1" objects="1" scenarios="1"/>
  <customSheetViews>
    <customSheetView guid="{4BF10618-D357-11D5-9338-EFF21189730A}" scale="90" showGridLines="0" showRuler="0">
      <selection activeCell="B5" sqref="B5"/>
      <pageMargins left="0.31496062992125984" right="0.51181102362204722" top="0.98425196850393704" bottom="0.98425196850393704" header="0" footer="0"/>
      <printOptions horizontalCentered="1"/>
      <pageSetup scale="50" orientation="landscape" horizontalDpi="180" verticalDpi="180" r:id="rId1"/>
      <headerFooter alignWithMargins="0"/>
    </customSheetView>
  </customSheetViews>
  <mergeCells count="10">
    <mergeCell ref="B1:Q1"/>
    <mergeCell ref="B2:Q2"/>
    <mergeCell ref="B3:Q3"/>
    <mergeCell ref="B36:Q36"/>
    <mergeCell ref="B44:Q44"/>
    <mergeCell ref="B23:Q23"/>
    <mergeCell ref="B4:Q4"/>
    <mergeCell ref="B14:Q14"/>
    <mergeCell ref="B22:Q22"/>
    <mergeCell ref="B28:Q28"/>
  </mergeCells>
  <printOptions horizontalCentered="1"/>
  <pageMargins left="0.31496062992125984" right="0.51181102362204722" top="0.98425196850393704" bottom="0.98425196850393704" header="0" footer="0"/>
  <pageSetup scale="45" orientation="landscape" horizontalDpi="180" verticalDpi="18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AE86"/>
  <sheetViews>
    <sheetView showGridLines="0" showRowColHeaders="0" workbookViewId="0">
      <selection activeCell="B61" sqref="B61:R61"/>
    </sheetView>
  </sheetViews>
  <sheetFormatPr baseColWidth="10" defaultColWidth="0" defaultRowHeight="12.75" zeroHeight="1" x14ac:dyDescent="0.2"/>
  <cols>
    <col min="1" max="1" width="11.42578125" style="79" customWidth="1"/>
    <col min="2" max="2" width="28.5703125" style="79" bestFit="1" customWidth="1"/>
    <col min="3" max="3" width="5.28515625" style="79" bestFit="1" customWidth="1"/>
    <col min="4" max="8" width="18.28515625" style="79" bestFit="1" customWidth="1"/>
    <col min="9" max="12" width="2" style="79" hidden="1" customWidth="1"/>
    <col min="13" max="18" width="3" style="79" hidden="1" customWidth="1"/>
    <col min="19" max="19" width="11.42578125" style="79" hidden="1" customWidth="1"/>
    <col min="20" max="20" width="2.85546875" style="79" hidden="1" customWidth="1"/>
    <col min="21" max="21" width="18.5703125" style="79" hidden="1" customWidth="1"/>
    <col min="22" max="25" width="11.42578125" style="79" hidden="1" customWidth="1"/>
    <col min="26" max="26" width="3.28515625" style="79" hidden="1" customWidth="1"/>
    <col min="27" max="27" width="18.5703125" style="79" hidden="1" customWidth="1"/>
    <col min="28" max="86" width="11.42578125" style="79" hidden="1" customWidth="1"/>
    <col min="87" max="16384" width="11.42578125" style="79" hidden="1"/>
  </cols>
  <sheetData>
    <row r="1" spans="2:31" x14ac:dyDescent="0.2"/>
    <row r="2" spans="2:31" ht="18" x14ac:dyDescent="0.25">
      <c r="B2" s="295" t="str">
        <f>'presupuesto compras y ventas'!B1:G1</f>
        <v>PROYECTO E-VISTETIC S.A.</v>
      </c>
      <c r="C2" s="295"/>
      <c r="D2" s="295"/>
      <c r="E2" s="295"/>
      <c r="F2" s="295"/>
      <c r="G2" s="295"/>
      <c r="H2" s="119"/>
    </row>
    <row r="3" spans="2:31" ht="15.75" x14ac:dyDescent="0.25">
      <c r="B3" s="294" t="s">
        <v>35</v>
      </c>
      <c r="C3" s="294"/>
      <c r="D3" s="294"/>
      <c r="E3" s="294"/>
      <c r="F3" s="294"/>
      <c r="G3" s="294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</row>
    <row r="4" spans="2:31" ht="13.5" thickBot="1" x14ac:dyDescent="0.25">
      <c r="B4" s="293" t="str">
        <f>IF(Inicio!$F$13="Años","En Años","En Meses")</f>
        <v>En Años</v>
      </c>
      <c r="C4" s="293"/>
      <c r="D4" s="293"/>
      <c r="E4" s="293"/>
      <c r="F4" s="293"/>
      <c r="G4" s="293"/>
      <c r="H4" s="119"/>
    </row>
    <row r="5" spans="2:31" ht="16.5" thickTop="1" thickBot="1" x14ac:dyDescent="0.3">
      <c r="B5" s="300" t="s">
        <v>278</v>
      </c>
      <c r="C5" s="301"/>
      <c r="D5" s="301"/>
      <c r="E5" s="301"/>
      <c r="F5" s="301"/>
      <c r="G5" s="302"/>
      <c r="H5" s="119"/>
    </row>
    <row r="6" spans="2:31" ht="15.75" thickBot="1" x14ac:dyDescent="0.3">
      <c r="B6" s="121" t="s">
        <v>7</v>
      </c>
      <c r="C6" s="122" t="s">
        <v>114</v>
      </c>
      <c r="D6" s="122" t="s">
        <v>115</v>
      </c>
      <c r="E6" s="122" t="s">
        <v>116</v>
      </c>
      <c r="F6" s="122" t="s">
        <v>62</v>
      </c>
      <c r="G6" s="123" t="s">
        <v>7</v>
      </c>
      <c r="H6" s="79" t="s">
        <v>0</v>
      </c>
    </row>
    <row r="7" spans="2:31" ht="16.5" thickTop="1" thickBot="1" x14ac:dyDescent="0.3">
      <c r="B7" s="124" t="s">
        <v>46</v>
      </c>
      <c r="C7" s="125"/>
      <c r="D7" s="125"/>
      <c r="E7" s="125"/>
      <c r="F7" s="125"/>
      <c r="G7" s="126"/>
    </row>
    <row r="8" spans="2:31" ht="16.5" thickTop="1" thickBot="1" x14ac:dyDescent="0.3">
      <c r="B8" s="127" t="str">
        <f>Inicio!C61</f>
        <v>Administrador de Redes</v>
      </c>
      <c r="C8" s="128">
        <f>Inicio!D61</f>
        <v>1</v>
      </c>
      <c r="D8" s="273">
        <f>Inicio!E61</f>
        <v>4000000</v>
      </c>
      <c r="E8" s="273">
        <f>IF(D8&lt;(Inicio!$D$49*Inicio!$D$50),(IF((D8&gt;0),Inicio!$D$51,0)),0)</f>
        <v>0</v>
      </c>
      <c r="F8" s="273">
        <f>(+D8+E8)*C8</f>
        <v>4000000</v>
      </c>
      <c r="G8" s="274">
        <f>IF(Inicio!$F$13="Años",(F8*12),F8)</f>
        <v>48000000</v>
      </c>
    </row>
    <row r="9" spans="2:31" ht="16.5" hidden="1" thickTop="1" thickBot="1" x14ac:dyDescent="0.3">
      <c r="B9" s="127" t="str">
        <f>Inicio!C62</f>
        <v>Gerente Financiero</v>
      </c>
      <c r="C9" s="128">
        <v>0</v>
      </c>
      <c r="D9" s="273">
        <f>Inicio!E62</f>
        <v>4000000</v>
      </c>
      <c r="E9" s="273">
        <f>IF(D9&lt;(Inicio!$D$49*Inicio!$D$50),(IF((D9&gt;0),Inicio!$D$51,0)),0)</f>
        <v>0</v>
      </c>
      <c r="F9" s="273">
        <f>(+D9+E9)*C9</f>
        <v>0</v>
      </c>
      <c r="G9" s="274">
        <f>IF(Inicio!$F$13="Años",(F9*12),F9)</f>
        <v>0</v>
      </c>
    </row>
    <row r="10" spans="2:31" ht="16.5" hidden="1" thickTop="1" thickBot="1" x14ac:dyDescent="0.3">
      <c r="B10" s="127" t="str">
        <f>Inicio!C63</f>
        <v>Gerente de Marketing</v>
      </c>
      <c r="C10" s="128">
        <f>Inicio!D63</f>
        <v>1</v>
      </c>
      <c r="D10" s="273">
        <f>Inicio!E63</f>
        <v>4000000</v>
      </c>
      <c r="E10" s="273">
        <f>IF(D10&lt;(Inicio!$D$49*Inicio!$D$50),(IF((D10&gt;0),Inicio!$D$51,0)),0)</f>
        <v>0</v>
      </c>
      <c r="F10" s="273">
        <f>(+D10+E10)*C10</f>
        <v>4000000</v>
      </c>
      <c r="G10" s="274">
        <f>IF(Inicio!$F$13="Años",(F10*12),F10)</f>
        <v>48000000</v>
      </c>
    </row>
    <row r="11" spans="2:31" ht="16.5" hidden="1" thickTop="1" thickBot="1" x14ac:dyDescent="0.3">
      <c r="B11" s="127" t="str">
        <f>Inicio!C64</f>
        <v>Gerente Tecnologia Y Procesos</v>
      </c>
      <c r="C11" s="128">
        <f>Inicio!D64</f>
        <v>1</v>
      </c>
      <c r="D11" s="273">
        <f>Inicio!E64</f>
        <v>4000000</v>
      </c>
      <c r="E11" s="273">
        <f>IF(D11&lt;(Inicio!$D$49*Inicio!$D$50),(IF((D11&gt;0),Inicio!$D$51,0)),0)</f>
        <v>0</v>
      </c>
      <c r="F11" s="273">
        <f>(+D11+E11)*C11</f>
        <v>4000000</v>
      </c>
      <c r="G11" s="274">
        <f>IF(Inicio!$F$13="Años",(F11*12),F11)</f>
        <v>48000000</v>
      </c>
    </row>
    <row r="12" spans="2:31" ht="16.5" hidden="1" thickTop="1" thickBot="1" x14ac:dyDescent="0.3">
      <c r="B12" s="127">
        <f>Inicio!C65</f>
        <v>0</v>
      </c>
      <c r="C12" s="128">
        <f>Inicio!D65</f>
        <v>0</v>
      </c>
      <c r="D12" s="273">
        <f>Inicio!E65</f>
        <v>0</v>
      </c>
      <c r="E12" s="273">
        <f>IF(D12&lt;(Inicio!$D$49*Inicio!$D$50),(IF((D12&gt;0),Inicio!$D$51,0)),0)</f>
        <v>0</v>
      </c>
      <c r="F12" s="273">
        <f>(+D12+E12)*C12</f>
        <v>0</v>
      </c>
      <c r="G12" s="274">
        <f>IF(Inicio!$F$13="Años",(F12*12),F12)</f>
        <v>0</v>
      </c>
    </row>
    <row r="13" spans="2:31" ht="16.5" thickTop="1" thickBot="1" x14ac:dyDescent="0.3">
      <c r="B13" s="129" t="s">
        <v>62</v>
      </c>
      <c r="C13" s="130"/>
      <c r="D13" s="130">
        <f>SUM(D8:D12)</f>
        <v>16000000</v>
      </c>
      <c r="E13" s="130">
        <f>SUM(E8:E12)</f>
        <v>0</v>
      </c>
      <c r="F13" s="130">
        <f>SUM(F8:F12)</f>
        <v>12000000</v>
      </c>
      <c r="G13" s="130">
        <f>SUM(G8:G12)</f>
        <v>144000000</v>
      </c>
      <c r="H13" s="131" t="s">
        <v>0</v>
      </c>
    </row>
    <row r="14" spans="2:31" ht="16.5" thickTop="1" thickBot="1" x14ac:dyDescent="0.3">
      <c r="B14" s="297" t="s">
        <v>277</v>
      </c>
      <c r="C14" s="298"/>
      <c r="D14" s="298"/>
      <c r="E14" s="298"/>
      <c r="F14" s="298"/>
      <c r="G14" s="299"/>
    </row>
    <row r="15" spans="2:31" ht="16.5" thickTop="1" thickBot="1" x14ac:dyDescent="0.3">
      <c r="B15" s="100" t="s">
        <v>106</v>
      </c>
      <c r="C15" s="100"/>
      <c r="D15" s="114">
        <f>Inicio!$F$49</f>
        <v>0.09</v>
      </c>
      <c r="E15" s="273"/>
      <c r="F15" s="273">
        <f>+(F13-E13)*D15</f>
        <v>1080000</v>
      </c>
      <c r="G15" s="273">
        <f>IF(Inicio!$F$13="Años",(F15*12),F15)</f>
        <v>12960000</v>
      </c>
    </row>
    <row r="16" spans="2:31" ht="16.5" thickTop="1" thickBot="1" x14ac:dyDescent="0.3">
      <c r="B16" s="100" t="s">
        <v>105</v>
      </c>
      <c r="C16" s="100"/>
      <c r="D16" s="132">
        <f>Inicio!$F$50</f>
        <v>0.1925</v>
      </c>
      <c r="E16" s="273"/>
      <c r="F16" s="273">
        <f>+F13*D16</f>
        <v>2310000</v>
      </c>
      <c r="G16" s="273">
        <f>IF(Inicio!$F$13="Años",(F16*12),F16)</f>
        <v>27720000</v>
      </c>
    </row>
    <row r="17" spans="2:8" ht="16.5" thickTop="1" thickBot="1" x14ac:dyDescent="0.3">
      <c r="B17" s="133" t="s">
        <v>107</v>
      </c>
      <c r="C17" s="100"/>
      <c r="D17" s="114" t="s">
        <v>0</v>
      </c>
      <c r="E17" s="273"/>
      <c r="F17" s="273"/>
      <c r="G17" s="273">
        <f>IF(Inicio!$F$13="Años",(F17*12),F17)</f>
        <v>0</v>
      </c>
    </row>
    <row r="18" spans="2:8" ht="16.5" thickTop="1" thickBot="1" x14ac:dyDescent="0.3">
      <c r="B18" s="100" t="s">
        <v>108</v>
      </c>
      <c r="C18" s="100"/>
      <c r="D18" s="132">
        <f>Inicio!$D$54</f>
        <v>4.1700000000000001E-2</v>
      </c>
      <c r="E18" s="273"/>
      <c r="F18" s="273">
        <f>+(F13-E13)*D18</f>
        <v>500400</v>
      </c>
      <c r="G18" s="273">
        <f>IF(Inicio!$F$13="Años",(F18*12),F18)</f>
        <v>6004800</v>
      </c>
    </row>
    <row r="19" spans="2:8" ht="16.5" thickTop="1" thickBot="1" x14ac:dyDescent="0.3">
      <c r="B19" s="100" t="s">
        <v>169</v>
      </c>
      <c r="C19" s="100"/>
      <c r="D19" s="132">
        <f>Inicio!$D$55</f>
        <v>8.4000000000000005E-2</v>
      </c>
      <c r="E19" s="273"/>
      <c r="F19" s="273">
        <f>+F13*D19</f>
        <v>1008000.0000000001</v>
      </c>
      <c r="G19" s="273">
        <f>IF(Inicio!$F$13="Años",(F19*12),F19)</f>
        <v>12096000.000000002</v>
      </c>
    </row>
    <row r="20" spans="2:8" ht="16.5" thickTop="1" thickBot="1" x14ac:dyDescent="0.3">
      <c r="B20" s="100" t="s">
        <v>109</v>
      </c>
      <c r="C20" s="100"/>
      <c r="D20" s="132">
        <f>Inicio!$D$56</f>
        <v>8.4000000000000005E-2</v>
      </c>
      <c r="E20" s="273"/>
      <c r="F20" s="273">
        <f>+F13*D20</f>
        <v>1008000.0000000001</v>
      </c>
      <c r="G20" s="273">
        <f>IF(Inicio!$F$13="Años",(F20*12),F20)</f>
        <v>12096000.000000002</v>
      </c>
    </row>
    <row r="21" spans="2:8" ht="16.5" thickTop="1" thickBot="1" x14ac:dyDescent="0.3">
      <c r="B21" s="100" t="s">
        <v>170</v>
      </c>
      <c r="C21" s="100"/>
      <c r="D21" s="114">
        <f>Inicio!$D$57</f>
        <v>0.12</v>
      </c>
      <c r="E21" s="273"/>
      <c r="F21" s="273">
        <f>+F19*D21</f>
        <v>120960.00000000001</v>
      </c>
      <c r="G21" s="273">
        <f>IF(Inicio!$F$13="Años",(F21*12),F21)</f>
        <v>1451520.0000000002</v>
      </c>
    </row>
    <row r="22" spans="2:8" ht="16.5" thickTop="1" thickBot="1" x14ac:dyDescent="0.3">
      <c r="B22" s="129" t="s">
        <v>110</v>
      </c>
      <c r="C22" s="130"/>
      <c r="D22" s="130"/>
      <c r="E22" s="130"/>
      <c r="F22" s="130"/>
      <c r="G22" s="130">
        <f>SUM(G15:G21)</f>
        <v>72328320</v>
      </c>
      <c r="H22" s="131"/>
    </row>
    <row r="23" spans="2:8" ht="16.5" thickTop="1" thickBot="1" x14ac:dyDescent="0.3">
      <c r="B23" s="303" t="s">
        <v>279</v>
      </c>
      <c r="C23" s="304"/>
      <c r="D23" s="304"/>
      <c r="E23" s="304"/>
      <c r="F23" s="304"/>
      <c r="G23" s="305"/>
    </row>
    <row r="24" spans="2:8" ht="16.5" thickTop="1" thickBot="1" x14ac:dyDescent="0.3">
      <c r="B24" s="103" t="s">
        <v>47</v>
      </c>
      <c r="C24" s="99" t="s">
        <v>114</v>
      </c>
      <c r="D24" s="99" t="s">
        <v>115</v>
      </c>
      <c r="E24" s="99" t="s">
        <v>116</v>
      </c>
      <c r="F24" s="99" t="s">
        <v>62</v>
      </c>
      <c r="G24" s="99" t="s">
        <v>7</v>
      </c>
    </row>
    <row r="25" spans="2:8" ht="16.5" thickTop="1" thickBot="1" x14ac:dyDescent="0.3">
      <c r="B25" s="100" t="str">
        <f>Inicio!C69</f>
        <v>Agentes Informacion</v>
      </c>
      <c r="C25" s="100">
        <f>Inicio!D69</f>
        <v>5</v>
      </c>
      <c r="D25" s="273">
        <f>Inicio!E69</f>
        <v>2400000</v>
      </c>
      <c r="E25" s="273">
        <f>IF(D25&lt;(Inicio!$D$49*Inicio!$D$50),(IF((D25&gt;0),Inicio!$D$51,0)),0)</f>
        <v>0</v>
      </c>
      <c r="F25" s="273">
        <f>(+D25+E25)*C25</f>
        <v>12000000</v>
      </c>
      <c r="G25" s="273">
        <f>IF(Inicio!$F$13="Años",(F25*12),F25)</f>
        <v>144000000</v>
      </c>
    </row>
    <row r="26" spans="2:8" ht="16.5" thickTop="1" thickBot="1" x14ac:dyDescent="0.3">
      <c r="B26" s="107">
        <f>Inicio!C70</f>
        <v>0</v>
      </c>
      <c r="C26" s="107">
        <f>Inicio!D70</f>
        <v>0</v>
      </c>
      <c r="D26" s="273">
        <f>Inicio!E70</f>
        <v>0</v>
      </c>
      <c r="E26" s="273">
        <f>IF(D26&lt;(Inicio!$D$49*Inicio!$D$50),(IF((D26&gt;0),Inicio!$D$51,0)),0)</f>
        <v>0</v>
      </c>
      <c r="F26" s="273">
        <f>(+D26+E26)*C26</f>
        <v>0</v>
      </c>
      <c r="G26" s="273">
        <f>IF(Inicio!$F$13="Años",(F26*12),F26)</f>
        <v>0</v>
      </c>
    </row>
    <row r="27" spans="2:8" ht="16.5" thickTop="1" thickBot="1" x14ac:dyDescent="0.3">
      <c r="B27" s="107">
        <f>Inicio!C71</f>
        <v>0</v>
      </c>
      <c r="C27" s="107">
        <f>Inicio!D71</f>
        <v>0</v>
      </c>
      <c r="D27" s="273">
        <f>Inicio!E71</f>
        <v>0</v>
      </c>
      <c r="E27" s="273">
        <f>IF(D27&lt;(Inicio!$D$49*Inicio!$D$50),(IF((D27&gt;0),Inicio!$D$51,0)),0)</f>
        <v>0</v>
      </c>
      <c r="F27" s="273">
        <f>(+D27+E27)*C27</f>
        <v>0</v>
      </c>
      <c r="G27" s="273">
        <f>IF(Inicio!$F$13="Años",(F27*12),F27)</f>
        <v>0</v>
      </c>
    </row>
    <row r="28" spans="2:8" ht="16.5" thickTop="1" thickBot="1" x14ac:dyDescent="0.3">
      <c r="B28" s="107">
        <f>Inicio!C72</f>
        <v>0</v>
      </c>
      <c r="C28" s="107">
        <f>Inicio!D72</f>
        <v>0</v>
      </c>
      <c r="D28" s="273">
        <f>Inicio!E72</f>
        <v>0</v>
      </c>
      <c r="E28" s="273">
        <f>IF(D28&lt;(Inicio!$D$49*Inicio!$D$50),(IF((D28&gt;0),Inicio!$D$51,0)),0)</f>
        <v>0</v>
      </c>
      <c r="F28" s="273">
        <f>(+D28+E28)*C28</f>
        <v>0</v>
      </c>
      <c r="G28" s="273">
        <f>IF(Inicio!$F$13="Años",(F28*12),F28)</f>
        <v>0</v>
      </c>
    </row>
    <row r="29" spans="2:8" ht="16.5" thickTop="1" thickBot="1" x14ac:dyDescent="0.3">
      <c r="B29" s="107">
        <f>Inicio!C73</f>
        <v>0</v>
      </c>
      <c r="C29" s="107">
        <f>Inicio!D73</f>
        <v>0</v>
      </c>
      <c r="D29" s="273">
        <f>Inicio!E73</f>
        <v>0</v>
      </c>
      <c r="E29" s="273">
        <f>IF(D29&lt;(Inicio!$D$49*Inicio!$D$50),(IF((D29&gt;0),Inicio!$D$51,0)),0)</f>
        <v>0</v>
      </c>
      <c r="F29" s="273">
        <f>(+D29+E29)*C29</f>
        <v>0</v>
      </c>
      <c r="G29" s="273">
        <f>IF(Inicio!$F$13="Años",(F29*12),F29)</f>
        <v>0</v>
      </c>
    </row>
    <row r="30" spans="2:8" ht="16.5" thickTop="1" thickBot="1" x14ac:dyDescent="0.3">
      <c r="B30" s="129" t="s">
        <v>62</v>
      </c>
      <c r="C30" s="130"/>
      <c r="D30" s="130">
        <f>SUM(D25:D29)</f>
        <v>2400000</v>
      </c>
      <c r="E30" s="130">
        <f>SUM(E25:E29)</f>
        <v>0</v>
      </c>
      <c r="F30" s="130">
        <f>SUM(F25:F29)</f>
        <v>12000000</v>
      </c>
      <c r="G30" s="130">
        <f>SUM(G25:G29)</f>
        <v>144000000</v>
      </c>
      <c r="H30" s="131"/>
    </row>
    <row r="31" spans="2:8" ht="16.5" thickTop="1" thickBot="1" x14ac:dyDescent="0.3">
      <c r="B31" s="303" t="s">
        <v>277</v>
      </c>
      <c r="C31" s="304"/>
      <c r="D31" s="304"/>
      <c r="E31" s="304"/>
      <c r="F31" s="304"/>
      <c r="G31" s="305"/>
    </row>
    <row r="32" spans="2:8" ht="16.5" thickTop="1" thickBot="1" x14ac:dyDescent="0.3">
      <c r="B32" s="100" t="s">
        <v>106</v>
      </c>
      <c r="C32" s="100"/>
      <c r="D32" s="114">
        <f>Inicio!$F$49</f>
        <v>0.09</v>
      </c>
      <c r="E32" s="100"/>
      <c r="F32" s="113">
        <f>+(F30-E30)*D32</f>
        <v>1080000</v>
      </c>
      <c r="G32" s="113">
        <f>IF(Inicio!$F$13="Años",(F32*12),F32)</f>
        <v>12960000</v>
      </c>
    </row>
    <row r="33" spans="2:31" ht="16.5" thickTop="1" thickBot="1" x14ac:dyDescent="0.3">
      <c r="B33" s="100" t="s">
        <v>105</v>
      </c>
      <c r="C33" s="100"/>
      <c r="D33" s="132">
        <f>Inicio!$F$50</f>
        <v>0.1925</v>
      </c>
      <c r="E33" s="100"/>
      <c r="F33" s="113">
        <f>+F30*D33</f>
        <v>2310000</v>
      </c>
      <c r="G33" s="113">
        <f>IF(Inicio!$F$13="Años",(F33*12),F33)</f>
        <v>27720000</v>
      </c>
    </row>
    <row r="34" spans="2:31" ht="16.5" thickTop="1" thickBot="1" x14ac:dyDescent="0.3">
      <c r="B34" s="133" t="s">
        <v>107</v>
      </c>
      <c r="C34" s="100"/>
      <c r="D34" s="114" t="s">
        <v>0</v>
      </c>
      <c r="E34" s="100"/>
      <c r="F34" s="113"/>
      <c r="G34" s="113">
        <f>IF(Inicio!$F$13="Años",(F34*12),F34)</f>
        <v>0</v>
      </c>
    </row>
    <row r="35" spans="2:31" ht="16.5" thickTop="1" thickBot="1" x14ac:dyDescent="0.3">
      <c r="B35" s="100" t="s">
        <v>108</v>
      </c>
      <c r="C35" s="100"/>
      <c r="D35" s="132">
        <f>Inicio!$D$54</f>
        <v>4.1700000000000001E-2</v>
      </c>
      <c r="E35" s="100"/>
      <c r="F35" s="113">
        <f>+(F30-E30)*D35</f>
        <v>500400</v>
      </c>
      <c r="G35" s="113">
        <f>IF(Inicio!$F$13="Años",(F35*12),F35)</f>
        <v>6004800</v>
      </c>
    </row>
    <row r="36" spans="2:31" ht="16.5" thickTop="1" thickBot="1" x14ac:dyDescent="0.3">
      <c r="B36" s="100" t="s">
        <v>169</v>
      </c>
      <c r="C36" s="100"/>
      <c r="D36" s="132">
        <f>Inicio!$D$55</f>
        <v>8.4000000000000005E-2</v>
      </c>
      <c r="E36" s="100"/>
      <c r="F36" s="113">
        <f>+F30*D36</f>
        <v>1008000.0000000001</v>
      </c>
      <c r="G36" s="113">
        <f>IF(Inicio!$F$13="Años",(F36*12),F36)</f>
        <v>12096000.000000002</v>
      </c>
    </row>
    <row r="37" spans="2:31" ht="16.5" thickTop="1" thickBot="1" x14ac:dyDescent="0.3">
      <c r="B37" s="100" t="s">
        <v>109</v>
      </c>
      <c r="C37" s="100"/>
      <c r="D37" s="132">
        <f>Inicio!$D$56</f>
        <v>8.4000000000000005E-2</v>
      </c>
      <c r="E37" s="100"/>
      <c r="F37" s="113">
        <f>+F30*D37</f>
        <v>1008000.0000000001</v>
      </c>
      <c r="G37" s="113">
        <f>IF(Inicio!$F$13="Años",(F37*12),F37)</f>
        <v>12096000.000000002</v>
      </c>
    </row>
    <row r="38" spans="2:31" ht="16.5" thickTop="1" thickBot="1" x14ac:dyDescent="0.3">
      <c r="B38" s="100" t="s">
        <v>170</v>
      </c>
      <c r="C38" s="100"/>
      <c r="D38" s="114">
        <f>Inicio!$D$57</f>
        <v>0.12</v>
      </c>
      <c r="E38" s="100"/>
      <c r="F38" s="113">
        <f>+F36*D38</f>
        <v>120960.00000000001</v>
      </c>
      <c r="G38" s="113">
        <f>IF(Inicio!$F$13="Años",(F38*12),F38)</f>
        <v>1451520.0000000002</v>
      </c>
    </row>
    <row r="39" spans="2:31" ht="16.5" thickTop="1" thickBot="1" x14ac:dyDescent="0.3">
      <c r="B39" s="129" t="s">
        <v>110</v>
      </c>
      <c r="C39" s="130"/>
      <c r="D39" s="130"/>
      <c r="E39" s="130"/>
      <c r="F39" s="130"/>
      <c r="G39" s="130">
        <f>SUM(G32:G38)</f>
        <v>72328320</v>
      </c>
      <c r="H39" s="131"/>
    </row>
    <row r="40" spans="2:31" ht="16.5" thickTop="1" thickBot="1" x14ac:dyDescent="0.3">
      <c r="B40" s="303" t="s">
        <v>280</v>
      </c>
      <c r="C40" s="304"/>
      <c r="D40" s="304"/>
      <c r="E40" s="304"/>
      <c r="F40" s="304"/>
      <c r="G40" s="305"/>
    </row>
    <row r="41" spans="2:31" ht="16.5" thickTop="1" thickBot="1" x14ac:dyDescent="0.3">
      <c r="B41" s="103" t="s">
        <v>64</v>
      </c>
      <c r="C41" s="99" t="s">
        <v>114</v>
      </c>
      <c r="D41" s="99" t="s">
        <v>115</v>
      </c>
      <c r="E41" s="99" t="s">
        <v>116</v>
      </c>
      <c r="F41" s="99" t="s">
        <v>62</v>
      </c>
      <c r="G41" s="99" t="s">
        <v>7</v>
      </c>
    </row>
    <row r="42" spans="2:31" ht="16.5" thickTop="1" thickBot="1" x14ac:dyDescent="0.3">
      <c r="B42" s="100" t="str">
        <f>Inicio!C77</f>
        <v>Analista</v>
      </c>
      <c r="C42" s="100">
        <f>+Inicio!D77</f>
        <v>5</v>
      </c>
      <c r="D42" s="113">
        <f>+Inicio!E77</f>
        <v>6000000</v>
      </c>
      <c r="E42" s="107">
        <f>IF(D42&lt;(Inicio!$D$49*Inicio!$D$50),(IF((D42&gt;0),Inicio!$D$51,0)),0)</f>
        <v>0</v>
      </c>
      <c r="F42" s="113">
        <f>(+D42+E42)*C42</f>
        <v>30000000</v>
      </c>
      <c r="G42" s="113">
        <f>IF(Inicio!$F$13="Años",(F42*12),F42)</f>
        <v>360000000</v>
      </c>
    </row>
    <row r="43" spans="2:31" ht="16.5" thickTop="1" thickBot="1" x14ac:dyDescent="0.3">
      <c r="B43" s="107">
        <f>Inicio!C78</f>
        <v>0</v>
      </c>
      <c r="C43" s="107">
        <f>+Inicio!D78</f>
        <v>0</v>
      </c>
      <c r="D43" s="107">
        <f>+Inicio!E78</f>
        <v>0</v>
      </c>
      <c r="E43" s="107">
        <f>IF(D43&lt;(Inicio!$D$49*Inicio!$D$50),(IF((D43&gt;0),Inicio!$D$51,0)),0)</f>
        <v>0</v>
      </c>
      <c r="F43" s="107">
        <f>(+D43+E43)*C43</f>
        <v>0</v>
      </c>
      <c r="G43" s="107">
        <f>IF(Inicio!$F$13="Años",(F43*12),F43)</f>
        <v>0</v>
      </c>
      <c r="I43" s="134"/>
      <c r="J43" s="134"/>
      <c r="K43" s="134"/>
      <c r="L43" s="134"/>
      <c r="M43" s="134"/>
      <c r="O43" s="134"/>
      <c r="P43" s="134"/>
      <c r="Q43" s="134"/>
      <c r="R43" s="134"/>
      <c r="S43" s="134"/>
      <c r="U43" s="134"/>
      <c r="V43" s="134"/>
      <c r="W43" s="134"/>
      <c r="X43" s="134"/>
      <c r="Y43" s="134"/>
      <c r="AA43" s="134"/>
      <c r="AB43" s="134"/>
      <c r="AC43" s="134"/>
      <c r="AD43" s="134"/>
      <c r="AE43" s="134"/>
    </row>
    <row r="44" spans="2:31" ht="16.5" thickTop="1" thickBot="1" x14ac:dyDescent="0.3">
      <c r="B44" s="107">
        <f>Inicio!C79</f>
        <v>0</v>
      </c>
      <c r="C44" s="107">
        <f>+Inicio!D79</f>
        <v>0</v>
      </c>
      <c r="D44" s="107">
        <f>+Inicio!E79</f>
        <v>0</v>
      </c>
      <c r="E44" s="107">
        <f>IF(D44&lt;(Inicio!$D$49*Inicio!$D$50),(IF((D44&gt;0),Inicio!$D$51,0)),0)</f>
        <v>0</v>
      </c>
      <c r="F44" s="107">
        <f>(+D44+E44)*C44</f>
        <v>0</v>
      </c>
      <c r="G44" s="107">
        <f>IF(Inicio!$F$13="Años",(F44*12),F44)</f>
        <v>0</v>
      </c>
      <c r="I44" s="134"/>
      <c r="J44" s="134"/>
      <c r="K44" s="134"/>
      <c r="L44" s="134"/>
      <c r="M44" s="134"/>
      <c r="O44" s="134"/>
      <c r="P44" s="134"/>
      <c r="Q44" s="134"/>
      <c r="R44" s="134"/>
      <c r="S44" s="134"/>
      <c r="U44" s="134"/>
      <c r="V44" s="134"/>
      <c r="W44" s="134"/>
      <c r="X44" s="134"/>
      <c r="Y44" s="134"/>
      <c r="AA44" s="134"/>
      <c r="AB44" s="134"/>
      <c r="AC44" s="134"/>
      <c r="AD44" s="134"/>
      <c r="AE44" s="134"/>
    </row>
    <row r="45" spans="2:31" ht="16.5" thickTop="1" thickBot="1" x14ac:dyDescent="0.3">
      <c r="B45" s="107">
        <f>Inicio!C80</f>
        <v>0</v>
      </c>
      <c r="C45" s="107">
        <f>+Inicio!D80</f>
        <v>0</v>
      </c>
      <c r="D45" s="107">
        <f>+Inicio!E80</f>
        <v>0</v>
      </c>
      <c r="E45" s="107">
        <f>IF(D45&lt;(Inicio!$D$49*Inicio!$D$50),(IF((D45&gt;0),Inicio!$D$51,0)),0)</f>
        <v>0</v>
      </c>
      <c r="F45" s="107">
        <f>(+D45+E45)*C45</f>
        <v>0</v>
      </c>
      <c r="G45" s="107">
        <f>IF(Inicio!$F$13="Años",(F45*12),F45)</f>
        <v>0</v>
      </c>
      <c r="I45" s="134"/>
      <c r="J45" s="134"/>
      <c r="K45" s="134"/>
      <c r="L45" s="134"/>
      <c r="M45" s="134"/>
      <c r="O45" s="134"/>
      <c r="P45" s="134"/>
      <c r="Q45" s="134"/>
      <c r="R45" s="134"/>
      <c r="S45" s="134"/>
      <c r="U45" s="134"/>
      <c r="V45" s="134"/>
      <c r="W45" s="134"/>
      <c r="X45" s="134"/>
      <c r="Y45" s="134"/>
      <c r="AA45" s="134"/>
      <c r="AB45" s="134"/>
      <c r="AC45" s="134"/>
      <c r="AD45" s="134"/>
      <c r="AE45" s="134"/>
    </row>
    <row r="46" spans="2:31" ht="16.5" thickTop="1" thickBot="1" x14ac:dyDescent="0.3">
      <c r="B46" s="107">
        <f>Inicio!C81</f>
        <v>0</v>
      </c>
      <c r="C46" s="107">
        <f>+Inicio!D81</f>
        <v>0</v>
      </c>
      <c r="D46" s="107">
        <f>+Inicio!E81</f>
        <v>0</v>
      </c>
      <c r="E46" s="107">
        <f>IF(D46&lt;(Inicio!$D$49*Inicio!$D$50),(IF((D46&gt;0),Inicio!$D$51,0)),0)</f>
        <v>0</v>
      </c>
      <c r="F46" s="107">
        <f>(+D46+E46)*C46</f>
        <v>0</v>
      </c>
      <c r="G46" s="107">
        <f>IF(Inicio!$F$13="Años",(F46*12),F46)</f>
        <v>0</v>
      </c>
      <c r="I46" s="134"/>
      <c r="J46" s="134"/>
      <c r="K46" s="134"/>
      <c r="L46" s="134"/>
      <c r="M46" s="134"/>
      <c r="O46" s="134"/>
      <c r="P46" s="134"/>
      <c r="Q46" s="134"/>
      <c r="R46" s="134"/>
      <c r="S46" s="134"/>
      <c r="U46" s="134"/>
      <c r="V46" s="134"/>
      <c r="W46" s="134"/>
      <c r="X46" s="134"/>
      <c r="Y46" s="134"/>
      <c r="AA46" s="134"/>
      <c r="AB46" s="134"/>
      <c r="AC46" s="134"/>
      <c r="AD46" s="134"/>
      <c r="AE46" s="134"/>
    </row>
    <row r="47" spans="2:31" ht="16.5" thickTop="1" thickBot="1" x14ac:dyDescent="0.3">
      <c r="B47" s="129" t="s">
        <v>62</v>
      </c>
      <c r="C47" s="130"/>
      <c r="D47" s="130">
        <f>SUM(D42:D46)</f>
        <v>6000000</v>
      </c>
      <c r="E47" s="130">
        <f>SUM(E42:E46)</f>
        <v>0</v>
      </c>
      <c r="F47" s="130">
        <f>SUM(F42:F46)</f>
        <v>30000000</v>
      </c>
      <c r="G47" s="130">
        <f>SUM(G42:G46)</f>
        <v>360000000</v>
      </c>
      <c r="H47" s="131"/>
      <c r="I47" s="134"/>
      <c r="J47" s="134"/>
      <c r="K47" s="134"/>
      <c r="L47" s="134"/>
      <c r="M47" s="134"/>
      <c r="O47" s="134"/>
      <c r="P47" s="134"/>
      <c r="Q47" s="134"/>
      <c r="R47" s="134"/>
      <c r="S47" s="134"/>
      <c r="U47" s="134"/>
      <c r="V47" s="134"/>
      <c r="W47" s="134"/>
      <c r="X47" s="134"/>
      <c r="Y47" s="134"/>
      <c r="AA47" s="134"/>
      <c r="AB47" s="134"/>
      <c r="AC47" s="134"/>
      <c r="AD47" s="134"/>
      <c r="AE47" s="134"/>
    </row>
    <row r="48" spans="2:31" ht="16.5" thickTop="1" thickBot="1" x14ac:dyDescent="0.3">
      <c r="B48" s="303" t="s">
        <v>277</v>
      </c>
      <c r="C48" s="304"/>
      <c r="D48" s="304"/>
      <c r="E48" s="304"/>
      <c r="F48" s="304"/>
      <c r="G48" s="305"/>
      <c r="I48" s="134"/>
      <c r="J48" s="134"/>
      <c r="K48" s="134"/>
      <c r="L48" s="134"/>
      <c r="M48" s="134"/>
      <c r="O48" s="134"/>
      <c r="P48" s="134"/>
      <c r="Q48" s="134"/>
      <c r="R48" s="134"/>
      <c r="S48" s="134"/>
      <c r="U48" s="134"/>
      <c r="V48" s="134"/>
      <c r="W48" s="134"/>
      <c r="X48" s="134"/>
      <c r="Y48" s="134"/>
      <c r="AA48" s="134"/>
      <c r="AB48" s="134"/>
      <c r="AC48" s="134"/>
      <c r="AD48" s="134"/>
      <c r="AE48" s="134"/>
    </row>
    <row r="49" spans="2:31" ht="16.5" thickTop="1" thickBot="1" x14ac:dyDescent="0.3">
      <c r="B49" s="100" t="s">
        <v>106</v>
      </c>
      <c r="C49" s="100"/>
      <c r="D49" s="114">
        <f>Inicio!$F$49</f>
        <v>0.09</v>
      </c>
      <c r="E49" s="107"/>
      <c r="F49" s="113">
        <f>+(F47-E47)*D49</f>
        <v>2700000</v>
      </c>
      <c r="G49" s="113">
        <f>IF(Inicio!$F$13="Años",(F49*12),F49)</f>
        <v>32400000</v>
      </c>
      <c r="I49" s="134"/>
      <c r="J49" s="134"/>
      <c r="K49" s="134"/>
      <c r="L49" s="134"/>
      <c r="M49" s="134"/>
      <c r="O49" s="134"/>
      <c r="P49" s="134"/>
      <c r="Q49" s="134"/>
      <c r="R49" s="134"/>
      <c r="S49" s="134"/>
      <c r="U49" s="134"/>
      <c r="V49" s="134"/>
      <c r="W49" s="134"/>
      <c r="X49" s="134"/>
      <c r="Y49" s="134"/>
      <c r="AA49" s="134"/>
      <c r="AB49" s="134"/>
      <c r="AC49" s="134"/>
      <c r="AD49" s="134"/>
      <c r="AE49" s="134"/>
    </row>
    <row r="50" spans="2:31" ht="16.5" thickTop="1" thickBot="1" x14ac:dyDescent="0.3">
      <c r="B50" s="100" t="s">
        <v>105</v>
      </c>
      <c r="C50" s="100"/>
      <c r="D50" s="132">
        <f>Inicio!$F$50</f>
        <v>0.1925</v>
      </c>
      <c r="E50" s="107"/>
      <c r="F50" s="113">
        <f>+F47*D50</f>
        <v>5775000</v>
      </c>
      <c r="G50" s="113">
        <f>IF(Inicio!$F$13="Años",(F50*12),F50)</f>
        <v>69300000</v>
      </c>
      <c r="I50" s="134"/>
      <c r="J50" s="134"/>
      <c r="K50" s="134"/>
      <c r="L50" s="134"/>
      <c r="M50" s="134"/>
      <c r="O50" s="134"/>
      <c r="P50" s="134"/>
      <c r="Q50" s="134"/>
      <c r="R50" s="134"/>
      <c r="S50" s="134"/>
      <c r="U50" s="134"/>
      <c r="V50" s="134"/>
      <c r="W50" s="134"/>
      <c r="X50" s="134"/>
      <c r="Y50" s="134"/>
      <c r="AA50" s="134"/>
      <c r="AB50" s="134"/>
      <c r="AC50" s="134"/>
      <c r="AD50" s="134"/>
      <c r="AE50" s="134"/>
    </row>
    <row r="51" spans="2:31" ht="16.5" thickTop="1" thickBot="1" x14ac:dyDescent="0.3">
      <c r="B51" s="133" t="s">
        <v>107</v>
      </c>
      <c r="C51" s="100"/>
      <c r="D51" s="114" t="s">
        <v>0</v>
      </c>
      <c r="E51" s="107"/>
      <c r="F51" s="113"/>
      <c r="G51" s="113">
        <f>IF(Inicio!$F$13="Años",(F51*12),F51)</f>
        <v>0</v>
      </c>
      <c r="I51" s="134"/>
      <c r="J51" s="134"/>
      <c r="K51" s="134"/>
      <c r="L51" s="134"/>
      <c r="M51" s="134"/>
      <c r="O51" s="134"/>
      <c r="P51" s="134"/>
      <c r="Q51" s="134"/>
      <c r="R51" s="134"/>
      <c r="S51" s="134"/>
      <c r="U51" s="134"/>
      <c r="V51" s="134"/>
      <c r="W51" s="134"/>
      <c r="X51" s="134"/>
      <c r="Y51" s="134"/>
      <c r="AA51" s="134"/>
      <c r="AB51" s="134"/>
      <c r="AC51" s="134"/>
      <c r="AD51" s="134"/>
      <c r="AE51" s="134"/>
    </row>
    <row r="52" spans="2:31" ht="16.5" thickTop="1" thickBot="1" x14ac:dyDescent="0.3">
      <c r="B52" s="100" t="s">
        <v>108</v>
      </c>
      <c r="C52" s="100"/>
      <c r="D52" s="132">
        <f>Inicio!$D$54</f>
        <v>4.1700000000000001E-2</v>
      </c>
      <c r="E52" s="107"/>
      <c r="F52" s="113">
        <f>+(F47-E47)*D52</f>
        <v>1251000</v>
      </c>
      <c r="G52" s="113">
        <f>IF(Inicio!$F$13="Años",(F52*12),F52)</f>
        <v>15012000</v>
      </c>
      <c r="I52" s="134"/>
      <c r="J52" s="134"/>
      <c r="K52" s="134"/>
      <c r="L52" s="134"/>
      <c r="M52" s="134"/>
      <c r="O52" s="134"/>
      <c r="P52" s="134"/>
      <c r="Q52" s="134"/>
      <c r="R52" s="134"/>
      <c r="S52" s="134"/>
      <c r="U52" s="134"/>
      <c r="V52" s="134"/>
      <c r="W52" s="134"/>
      <c r="X52" s="134"/>
      <c r="Y52" s="134"/>
      <c r="AA52" s="134"/>
      <c r="AB52" s="134"/>
      <c r="AC52" s="134"/>
      <c r="AD52" s="134"/>
      <c r="AE52" s="134"/>
    </row>
    <row r="53" spans="2:31" ht="16.5" thickTop="1" thickBot="1" x14ac:dyDescent="0.3">
      <c r="B53" s="100" t="s">
        <v>169</v>
      </c>
      <c r="C53" s="100"/>
      <c r="D53" s="132">
        <f>Inicio!$D$55</f>
        <v>8.4000000000000005E-2</v>
      </c>
      <c r="E53" s="107"/>
      <c r="F53" s="113">
        <f>+F47*D53</f>
        <v>2520000</v>
      </c>
      <c r="G53" s="113">
        <f>IF(Inicio!$F$13="Años",(F53*12),F53)</f>
        <v>30240000</v>
      </c>
      <c r="I53" s="134"/>
      <c r="J53" s="134"/>
      <c r="K53" s="134"/>
      <c r="L53" s="134"/>
      <c r="M53" s="134"/>
      <c r="O53" s="134"/>
      <c r="P53" s="134"/>
      <c r="Q53" s="134"/>
      <c r="R53" s="134"/>
      <c r="S53" s="134"/>
      <c r="U53" s="134"/>
      <c r="V53" s="134"/>
      <c r="W53" s="134"/>
      <c r="X53" s="134"/>
      <c r="Y53" s="134"/>
      <c r="AA53" s="134"/>
      <c r="AB53" s="134"/>
      <c r="AC53" s="134"/>
      <c r="AD53" s="134"/>
      <c r="AE53" s="134"/>
    </row>
    <row r="54" spans="2:31" ht="16.5" thickTop="1" thickBot="1" x14ac:dyDescent="0.3">
      <c r="B54" s="100" t="s">
        <v>109</v>
      </c>
      <c r="C54" s="100"/>
      <c r="D54" s="132">
        <f>Inicio!$D$56</f>
        <v>8.4000000000000005E-2</v>
      </c>
      <c r="E54" s="107"/>
      <c r="F54" s="113">
        <f>+F47*D54</f>
        <v>2520000</v>
      </c>
      <c r="G54" s="113">
        <f>IF(Inicio!$F$13="Años",(F54*12),F54)</f>
        <v>30240000</v>
      </c>
      <c r="I54" s="134"/>
      <c r="J54" s="134"/>
      <c r="K54" s="134"/>
      <c r="L54" s="134"/>
      <c r="M54" s="134"/>
      <c r="O54" s="134"/>
      <c r="P54" s="134"/>
      <c r="Q54" s="134"/>
      <c r="R54" s="134"/>
      <c r="S54" s="134"/>
      <c r="U54" s="134"/>
      <c r="V54" s="134"/>
      <c r="W54" s="134"/>
      <c r="X54" s="134"/>
      <c r="Y54" s="134"/>
      <c r="AA54" s="134"/>
      <c r="AB54" s="134"/>
      <c r="AC54" s="134"/>
      <c r="AD54" s="134"/>
      <c r="AE54" s="134"/>
    </row>
    <row r="55" spans="2:31" ht="16.5" thickTop="1" thickBot="1" x14ac:dyDescent="0.3">
      <c r="B55" s="100" t="s">
        <v>170</v>
      </c>
      <c r="C55" s="100"/>
      <c r="D55" s="114">
        <f>Inicio!$D$57</f>
        <v>0.12</v>
      </c>
      <c r="E55" s="107"/>
      <c r="F55" s="113">
        <f>+F53*D55</f>
        <v>302400</v>
      </c>
      <c r="G55" s="113">
        <f>IF(Inicio!$F$13="Años",(F55*12),F55)</f>
        <v>3628800</v>
      </c>
      <c r="I55" s="134"/>
      <c r="J55" s="134"/>
      <c r="K55" s="134"/>
      <c r="L55" s="134"/>
      <c r="M55" s="134"/>
      <c r="O55" s="134"/>
      <c r="P55" s="134"/>
      <c r="Q55" s="134"/>
      <c r="R55" s="134"/>
      <c r="S55" s="134"/>
      <c r="U55" s="134"/>
      <c r="V55" s="134"/>
      <c r="W55" s="134"/>
      <c r="X55" s="134"/>
      <c r="Y55" s="134"/>
      <c r="AA55" s="134"/>
      <c r="AB55" s="134"/>
      <c r="AC55" s="134"/>
      <c r="AD55" s="134"/>
      <c r="AE55" s="134"/>
    </row>
    <row r="56" spans="2:31" ht="16.5" thickTop="1" thickBot="1" x14ac:dyDescent="0.3">
      <c r="B56" s="129" t="s">
        <v>110</v>
      </c>
      <c r="C56" s="130"/>
      <c r="D56" s="130"/>
      <c r="E56" s="130"/>
      <c r="F56" s="130"/>
      <c r="G56" s="130">
        <f>SUM(G49:G55)</f>
        <v>180820800</v>
      </c>
      <c r="H56" s="131"/>
      <c r="I56" s="134"/>
      <c r="J56" s="134"/>
      <c r="K56" s="134"/>
      <c r="L56" s="134"/>
      <c r="M56" s="134"/>
      <c r="O56" s="134"/>
      <c r="P56" s="134"/>
      <c r="Q56" s="134"/>
      <c r="R56" s="134"/>
      <c r="S56" s="134"/>
      <c r="U56" s="134"/>
      <c r="V56" s="134"/>
      <c r="W56" s="134"/>
      <c r="X56" s="134"/>
      <c r="Y56" s="134"/>
      <c r="AA56" s="134"/>
      <c r="AB56" s="134"/>
      <c r="AC56" s="134"/>
      <c r="AD56" s="134"/>
      <c r="AE56" s="134"/>
    </row>
    <row r="57" spans="2:31" ht="13.5" thickTop="1" x14ac:dyDescent="0.2">
      <c r="B57" s="134"/>
      <c r="C57" s="134"/>
      <c r="D57" s="134"/>
      <c r="E57" s="134"/>
      <c r="F57" s="134"/>
      <c r="G57" s="134"/>
      <c r="I57" s="134"/>
      <c r="J57" s="134"/>
      <c r="K57" s="134"/>
      <c r="L57" s="134"/>
      <c r="M57" s="134"/>
      <c r="O57" s="134"/>
      <c r="P57" s="134"/>
      <c r="Q57" s="134"/>
      <c r="R57" s="134"/>
      <c r="S57" s="134"/>
      <c r="U57" s="134"/>
      <c r="V57" s="134"/>
      <c r="W57" s="134"/>
      <c r="X57" s="134"/>
      <c r="Y57" s="134"/>
      <c r="AA57" s="134"/>
      <c r="AB57" s="134"/>
      <c r="AC57" s="134"/>
      <c r="AD57" s="134"/>
      <c r="AE57" s="134"/>
    </row>
    <row r="58" spans="2:31" x14ac:dyDescent="0.2"/>
    <row r="59" spans="2:31" ht="18" x14ac:dyDescent="0.25">
      <c r="B59" s="295" t="str">
        <f>B2</f>
        <v>PROYECTO E-VISTETIC S.A.</v>
      </c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</row>
    <row r="60" spans="2:31" x14ac:dyDescent="0.2">
      <c r="B60" s="296" t="s">
        <v>55</v>
      </c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</row>
    <row r="61" spans="2:31" ht="13.5" thickBot="1" x14ac:dyDescent="0.25">
      <c r="B61" s="293" t="str">
        <f>IF(Inicio!$F$13="Años","En Años","En Meses")</f>
        <v>En Años</v>
      </c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</row>
    <row r="62" spans="2:31" ht="18.75" thickBot="1" x14ac:dyDescent="0.3">
      <c r="B62" s="306" t="s">
        <v>296</v>
      </c>
      <c r="C62" s="306"/>
      <c r="D62" s="306"/>
      <c r="E62" s="306"/>
      <c r="F62" s="306"/>
      <c r="G62" s="275"/>
      <c r="H62" s="275"/>
      <c r="I62" s="135"/>
      <c r="J62" s="135"/>
      <c r="K62" s="135"/>
      <c r="L62" s="135"/>
      <c r="M62" s="135"/>
      <c r="N62" s="135"/>
      <c r="O62" s="135"/>
      <c r="P62" s="135"/>
      <c r="Q62" s="135"/>
      <c r="R62" s="135"/>
    </row>
    <row r="63" spans="2:31" ht="16.5" thickTop="1" thickBot="1" x14ac:dyDescent="0.3">
      <c r="B63" s="99" t="s">
        <v>46</v>
      </c>
      <c r="C63" s="99"/>
      <c r="D63" s="99">
        <v>1</v>
      </c>
      <c r="E63" s="99">
        <v>2</v>
      </c>
      <c r="F63" s="99">
        <v>3</v>
      </c>
      <c r="G63" s="99">
        <v>4</v>
      </c>
      <c r="H63" s="99">
        <v>5</v>
      </c>
      <c r="I63" s="136">
        <v>6</v>
      </c>
      <c r="J63" s="136">
        <v>7</v>
      </c>
      <c r="K63" s="136">
        <v>8</v>
      </c>
      <c r="L63" s="136">
        <v>9</v>
      </c>
      <c r="M63" s="136">
        <v>10</v>
      </c>
      <c r="N63" s="136">
        <v>11</v>
      </c>
      <c r="O63" s="136">
        <v>12</v>
      </c>
      <c r="P63" s="136">
        <v>13</v>
      </c>
      <c r="Q63" s="136">
        <v>14</v>
      </c>
      <c r="R63" s="136">
        <v>15</v>
      </c>
    </row>
    <row r="64" spans="2:31" ht="16.5" thickTop="1" thickBot="1" x14ac:dyDescent="0.3">
      <c r="B64" s="100" t="s">
        <v>56</v>
      </c>
      <c r="C64" s="100"/>
      <c r="D64" s="113">
        <f>+G13</f>
        <v>144000000</v>
      </c>
      <c r="E64" s="113">
        <f>IF(E63&lt;=Inicio!$D$13,(+D64*$C$85)+D64,0)</f>
        <v>148320000</v>
      </c>
      <c r="F64" s="113">
        <f>IF(F63&lt;=Inicio!$D$13,(+E64*$C$85)+E64,0)</f>
        <v>152769600</v>
      </c>
      <c r="G64" s="113">
        <f>IF(G63&lt;=Inicio!$D$13,(+F64*$C$85)+F64,0)</f>
        <v>0</v>
      </c>
      <c r="H64" s="113">
        <f>IF(H63&lt;=Inicio!$D$13,(+G64*$C$85)+G64,0)</f>
        <v>0</v>
      </c>
      <c r="I64" s="137">
        <f>IF(I63&lt;=Inicio!$D$13,(+H64*$C$85)+H64,0)</f>
        <v>0</v>
      </c>
      <c r="J64" s="137">
        <f>IF(J63&lt;=Inicio!$D$13,(+I64*$C$85)+I64,0)</f>
        <v>0</v>
      </c>
      <c r="K64" s="137">
        <f>IF(K63&lt;=Inicio!$D$13,(+J64*$C$85)+J64,0)</f>
        <v>0</v>
      </c>
      <c r="L64" s="137">
        <f>IF(L63&lt;=Inicio!$D$13,(+K64*$C$85)+K64,0)</f>
        <v>0</v>
      </c>
      <c r="M64" s="137">
        <f>IF(M63&lt;=Inicio!$D$13,(+L64*$C$85)+L64,0)</f>
        <v>0</v>
      </c>
      <c r="N64" s="137">
        <f>IF(N63&lt;=Inicio!$D$13,(+M64*$C$85)+M64,0)</f>
        <v>0</v>
      </c>
      <c r="O64" s="137">
        <f>IF(O63&lt;=Inicio!$D$13,(+N64*$C$85)+N64,0)</f>
        <v>0</v>
      </c>
      <c r="P64" s="137">
        <f>IF(P63&lt;=Inicio!$D$13,(+O64*$C$85)+O64,0)</f>
        <v>0</v>
      </c>
      <c r="Q64" s="137">
        <f>IF(Q63&lt;=Inicio!$D$13,(+P64*$C$85)+P64,0)</f>
        <v>0</v>
      </c>
      <c r="R64" s="137">
        <f>IF(R63&lt;=Inicio!$D$13,(+Q64*$C$85)+Q64,0)</f>
        <v>0</v>
      </c>
    </row>
    <row r="65" spans="2:18" ht="16.5" thickTop="1" thickBot="1" x14ac:dyDescent="0.3">
      <c r="B65" s="100" t="s">
        <v>111</v>
      </c>
      <c r="C65" s="100"/>
      <c r="D65" s="113">
        <f>+G18+G19+G20+G21</f>
        <v>31648320</v>
      </c>
      <c r="E65" s="113">
        <f>IF(E63&lt;=Inicio!$D$13,(+D65*$C$85)+D65,0)</f>
        <v>32597769.600000001</v>
      </c>
      <c r="F65" s="113">
        <f>IF(F63&lt;=Inicio!$D$13,(+E65*$C$85)+E65,0)</f>
        <v>33575702.688000001</v>
      </c>
      <c r="G65" s="113">
        <f>IF(G63&lt;=Inicio!$D$13,(+F65*$C$85)+F65,0)</f>
        <v>0</v>
      </c>
      <c r="H65" s="113">
        <f>IF(H63&lt;=Inicio!$D$13,(+G65*$C$85)+G65,0)</f>
        <v>0</v>
      </c>
      <c r="I65" s="137">
        <f>IF(I63&lt;=Inicio!$D$13,(+H65*$C$85)+H65,0)</f>
        <v>0</v>
      </c>
      <c r="J65" s="137">
        <f>IF(J63&lt;=Inicio!$D$13,(+I65*$C$85)+I65,0)</f>
        <v>0</v>
      </c>
      <c r="K65" s="137">
        <f>IF(K63&lt;=Inicio!$D$13,(+J65*$C$85)+J65,0)</f>
        <v>0</v>
      </c>
      <c r="L65" s="137">
        <f>IF(L63&lt;=Inicio!$D$13,(+K65*$C$85)+K65,0)</f>
        <v>0</v>
      </c>
      <c r="M65" s="137">
        <f>IF(M63&lt;=Inicio!$D$13,(+L65*$C$85)+L65,0)</f>
        <v>0</v>
      </c>
      <c r="N65" s="137">
        <f>IF(N63&lt;=Inicio!$D$13,(+M65*$C$85)+M65,0)</f>
        <v>0</v>
      </c>
      <c r="O65" s="137">
        <f>IF(O63&lt;=Inicio!$D$13,(+N65*$C$85)+N65,0)</f>
        <v>0</v>
      </c>
      <c r="P65" s="137">
        <f>IF(P63&lt;=Inicio!$D$13,(+O65*$C$85)+O65,0)</f>
        <v>0</v>
      </c>
      <c r="Q65" s="137">
        <f>IF(Q63&lt;=Inicio!$D$13,(+P65*$C$85)+P65,0)</f>
        <v>0</v>
      </c>
      <c r="R65" s="137">
        <f>IF(R63&lt;=Inicio!$D$13,(+Q65*$C$85)+Q65,0)</f>
        <v>0</v>
      </c>
    </row>
    <row r="66" spans="2:18" ht="16.5" thickTop="1" thickBot="1" x14ac:dyDescent="0.3">
      <c r="B66" s="100" t="s">
        <v>112</v>
      </c>
      <c r="C66" s="100"/>
      <c r="D66" s="113">
        <f>+G15+G16</f>
        <v>40680000</v>
      </c>
      <c r="E66" s="113">
        <f>IF(E63&lt;=Inicio!$D$13,(+D66*$C$85)+D66,0)</f>
        <v>41900400</v>
      </c>
      <c r="F66" s="113">
        <f>IF(F63&lt;=Inicio!$D$13,(+E66*$C$85)+E66,0)</f>
        <v>43157412</v>
      </c>
      <c r="G66" s="113">
        <f>IF(G63&lt;=Inicio!$D$13,(+F66*$C$85)+F66,0)</f>
        <v>0</v>
      </c>
      <c r="H66" s="113">
        <f>IF(H63&lt;=Inicio!$D$13,(+G66*$C$85)+G66,0)</f>
        <v>0</v>
      </c>
      <c r="I66" s="137">
        <f>IF(I63&lt;=Inicio!$D$13,(+H66*$C$85)+H66,0)</f>
        <v>0</v>
      </c>
      <c r="J66" s="137">
        <f>IF(J63&lt;=Inicio!$D$13,(+I66*$C$85)+I66,0)</f>
        <v>0</v>
      </c>
      <c r="K66" s="137">
        <f>IF(K63&lt;=Inicio!$D$13,(+J66*$C$85)+J66,0)</f>
        <v>0</v>
      </c>
      <c r="L66" s="137">
        <f>IF(L63&lt;=Inicio!$D$13,(+K66*$C$85)+K66,0)</f>
        <v>0</v>
      </c>
      <c r="M66" s="137">
        <f>IF(M63&lt;=Inicio!$D$13,(+L66*$C$85)+L66,0)</f>
        <v>0</v>
      </c>
      <c r="N66" s="137">
        <f>IF(N63&lt;=Inicio!$D$13,(+M66*$C$85)+M66,0)</f>
        <v>0</v>
      </c>
      <c r="O66" s="137">
        <f>IF(O63&lt;=Inicio!$D$13,(+N66*$C$85)+N66,0)</f>
        <v>0</v>
      </c>
      <c r="P66" s="137">
        <f>IF(P63&lt;=Inicio!$D$13,(+O66*$C$85)+O66,0)</f>
        <v>0</v>
      </c>
      <c r="Q66" s="137">
        <f>IF(Q63&lt;=Inicio!$D$13,(+P66*$C$85)+P66,0)</f>
        <v>0</v>
      </c>
      <c r="R66" s="137">
        <f>IF(R63&lt;=Inicio!$D$13,(+Q66*$C$85)+Q66,0)</f>
        <v>0</v>
      </c>
    </row>
    <row r="67" spans="2:18" s="131" customFormat="1" ht="16.5" thickTop="1" thickBot="1" x14ac:dyDescent="0.3">
      <c r="B67" s="129" t="s">
        <v>62</v>
      </c>
      <c r="C67" s="130"/>
      <c r="D67" s="130">
        <f>SUM(D64:D66)</f>
        <v>216328320</v>
      </c>
      <c r="E67" s="130">
        <f>SUM(E64:E66)</f>
        <v>222818169.59999999</v>
      </c>
      <c r="F67" s="130">
        <f>SUM(F64:F66)</f>
        <v>229502714.68799999</v>
      </c>
      <c r="G67" s="130">
        <f t="shared" ref="G67:R67" si="0">SUM(G64:G66)</f>
        <v>0</v>
      </c>
      <c r="H67" s="130">
        <f t="shared" si="0"/>
        <v>0</v>
      </c>
      <c r="I67" s="138">
        <f t="shared" si="0"/>
        <v>0</v>
      </c>
      <c r="J67" s="138">
        <f t="shared" si="0"/>
        <v>0</v>
      </c>
      <c r="K67" s="138">
        <f t="shared" si="0"/>
        <v>0</v>
      </c>
      <c r="L67" s="138">
        <f t="shared" si="0"/>
        <v>0</v>
      </c>
      <c r="M67" s="138">
        <f t="shared" si="0"/>
        <v>0</v>
      </c>
      <c r="N67" s="138">
        <f t="shared" si="0"/>
        <v>0</v>
      </c>
      <c r="O67" s="138">
        <f t="shared" si="0"/>
        <v>0</v>
      </c>
      <c r="P67" s="138">
        <f t="shared" si="0"/>
        <v>0</v>
      </c>
      <c r="Q67" s="138">
        <f t="shared" si="0"/>
        <v>0</v>
      </c>
      <c r="R67" s="138">
        <f t="shared" si="0"/>
        <v>0</v>
      </c>
    </row>
    <row r="68" spans="2:18" ht="14.25" thickTop="1" thickBot="1" x14ac:dyDescent="0.25">
      <c r="B68" s="139"/>
      <c r="C68" s="134"/>
      <c r="D68" s="145">
        <f>+D67/D83</f>
        <v>0.22222222222222221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40"/>
    </row>
    <row r="69" spans="2:18" ht="16.5" thickTop="1" thickBot="1" x14ac:dyDescent="0.3">
      <c r="B69" s="99" t="s">
        <v>57</v>
      </c>
      <c r="C69" s="99"/>
      <c r="D69" s="99">
        <v>1</v>
      </c>
      <c r="E69" s="99">
        <v>2</v>
      </c>
      <c r="F69" s="99">
        <v>3</v>
      </c>
      <c r="G69" s="99">
        <v>4</v>
      </c>
      <c r="H69" s="99">
        <v>5</v>
      </c>
      <c r="I69" s="136">
        <v>6</v>
      </c>
      <c r="J69" s="136">
        <v>7</v>
      </c>
      <c r="K69" s="136">
        <v>8</v>
      </c>
      <c r="L69" s="136">
        <v>9</v>
      </c>
      <c r="M69" s="136">
        <v>10</v>
      </c>
      <c r="N69" s="136">
        <v>11</v>
      </c>
      <c r="O69" s="136">
        <v>12</v>
      </c>
      <c r="P69" s="136">
        <v>13</v>
      </c>
      <c r="Q69" s="136">
        <v>14</v>
      </c>
      <c r="R69" s="136">
        <v>15</v>
      </c>
    </row>
    <row r="70" spans="2:18" ht="16.5" thickTop="1" thickBot="1" x14ac:dyDescent="0.3">
      <c r="B70" s="100" t="s">
        <v>56</v>
      </c>
      <c r="C70" s="100"/>
      <c r="D70" s="113">
        <f>+G30</f>
        <v>144000000</v>
      </c>
      <c r="E70" s="113">
        <f>IF(E63&lt;=Inicio!$D$13,(+D70*$C$85)+D70,0)</f>
        <v>148320000</v>
      </c>
      <c r="F70" s="113">
        <f>IF(F63&lt;=Inicio!$D$13,(+E70*$C$85)+E70,0)</f>
        <v>152769600</v>
      </c>
      <c r="G70" s="113">
        <f>IF(G63&lt;=Inicio!$D$13,(+F70*$C$85)+F70,0)</f>
        <v>0</v>
      </c>
      <c r="H70" s="113">
        <f>IF(H63&lt;=Inicio!$D$13,(+G70*$C$85)+G70,0)</f>
        <v>0</v>
      </c>
      <c r="I70" s="137">
        <f>IF(I63&lt;=Inicio!$D$13,(+H70*$C$85)+H70,0)</f>
        <v>0</v>
      </c>
      <c r="J70" s="137">
        <f>IF(J63&lt;=Inicio!$D$13,(+I70*$C$85)+I70,0)</f>
        <v>0</v>
      </c>
      <c r="K70" s="137">
        <f>IF(K63&lt;=Inicio!$D$13,(+J70*$C$85)+J70,0)</f>
        <v>0</v>
      </c>
      <c r="L70" s="137">
        <f>IF(L63&lt;=Inicio!$D$13,(+K70*$C$85)+K70,0)</f>
        <v>0</v>
      </c>
      <c r="M70" s="137">
        <f>IF(M63&lt;=Inicio!$D$13,(+L70*$C$85)+L70,0)</f>
        <v>0</v>
      </c>
      <c r="N70" s="137">
        <f>IF(N63&lt;=Inicio!$D$13,(+M70*$C$85)+M70,0)</f>
        <v>0</v>
      </c>
      <c r="O70" s="137">
        <f>IF(O63&lt;=Inicio!$D$13,(+N70*$C$85)+N70,0)</f>
        <v>0</v>
      </c>
      <c r="P70" s="137">
        <f>IF(P63&lt;=Inicio!$D$13,(+O70*$C$85)+O70,0)</f>
        <v>0</v>
      </c>
      <c r="Q70" s="137">
        <f>IF(Q63&lt;=Inicio!$D$13,(+P70*$C$85)+P70,0)</f>
        <v>0</v>
      </c>
      <c r="R70" s="137">
        <f>IF(R63&lt;=Inicio!$D$13,(+Q70*$C$85)+Q70,0)</f>
        <v>0</v>
      </c>
    </row>
    <row r="71" spans="2:18" ht="16.5" thickTop="1" thickBot="1" x14ac:dyDescent="0.3">
      <c r="B71" s="100" t="s">
        <v>58</v>
      </c>
      <c r="C71" s="100"/>
      <c r="D71" s="113">
        <f>+G35+G36+G37+G38</f>
        <v>31648320</v>
      </c>
      <c r="E71" s="113">
        <f>IF(E63&lt;=Inicio!$D$13,(+D71*$C$85)+D71,0)</f>
        <v>32597769.600000001</v>
      </c>
      <c r="F71" s="113">
        <f>IF(F63&lt;=Inicio!$D$13,(+E71*$C$85)+E71,0)</f>
        <v>33575702.688000001</v>
      </c>
      <c r="G71" s="113">
        <f>IF(G63&lt;=Inicio!$D$13,(+F71*$C$85)+F71,0)</f>
        <v>0</v>
      </c>
      <c r="H71" s="113">
        <f>IF(H63&lt;=Inicio!$D$13,(+G71*$C$85)+G71,0)</f>
        <v>0</v>
      </c>
      <c r="I71" s="137">
        <f>IF(I63&lt;=Inicio!$D$13,(+H71*$C$85)+H71,0)</f>
        <v>0</v>
      </c>
      <c r="J71" s="137">
        <f>IF(J63&lt;=Inicio!$D$13,(+I71*$C$85)+I71,0)</f>
        <v>0</v>
      </c>
      <c r="K71" s="137">
        <f>IF(K63&lt;=Inicio!$D$13,(+J71*$C$85)+J71,0)</f>
        <v>0</v>
      </c>
      <c r="L71" s="137">
        <f>IF(L63&lt;=Inicio!$D$13,(+K71*$C$85)+K71,0)</f>
        <v>0</v>
      </c>
      <c r="M71" s="137">
        <f>IF(M63&lt;=Inicio!$D$13,(+L71*$C$85)+L71,0)</f>
        <v>0</v>
      </c>
      <c r="N71" s="137">
        <f>IF(N63&lt;=Inicio!$D$13,(+M71*$C$85)+M71,0)</f>
        <v>0</v>
      </c>
      <c r="O71" s="137">
        <f>IF(O63&lt;=Inicio!$D$13,(+N71*$C$85)+N71,0)</f>
        <v>0</v>
      </c>
      <c r="P71" s="137">
        <f>IF(P63&lt;=Inicio!$D$13,(+O71*$C$85)+O71,0)</f>
        <v>0</v>
      </c>
      <c r="Q71" s="137">
        <f>IF(Q63&lt;=Inicio!$D$13,(+P71*$C$85)+P71,0)</f>
        <v>0</v>
      </c>
      <c r="R71" s="137">
        <f>IF(R63&lt;=Inicio!$D$13,(+Q71*$C$85)+Q71,0)</f>
        <v>0</v>
      </c>
    </row>
    <row r="72" spans="2:18" ht="16.5" thickTop="1" thickBot="1" x14ac:dyDescent="0.3">
      <c r="B72" s="100" t="s">
        <v>112</v>
      </c>
      <c r="C72" s="100"/>
      <c r="D72" s="113">
        <f>+G32+G33</f>
        <v>40680000</v>
      </c>
      <c r="E72" s="113">
        <f>IF(E63&lt;=Inicio!$D$13,(+D72*$C$85)+D72,0)</f>
        <v>41900400</v>
      </c>
      <c r="F72" s="113">
        <f>IF(F63&lt;=Inicio!$D$13,(+E72*$C$85)+E72,0)</f>
        <v>43157412</v>
      </c>
      <c r="G72" s="113">
        <f>IF(G63&lt;=Inicio!$D$13,(+F72*$C$85)+F72,0)</f>
        <v>0</v>
      </c>
      <c r="H72" s="113">
        <f>IF(H63&lt;=Inicio!$D$13,(+G72*$C$85)+G72,0)</f>
        <v>0</v>
      </c>
      <c r="I72" s="137">
        <f>IF(I63&lt;=Inicio!$D$13,(+H72*$C$85)+H72,0)</f>
        <v>0</v>
      </c>
      <c r="J72" s="137">
        <f>IF(J63&lt;=Inicio!$D$13,(+I72*$C$85)+I72,0)</f>
        <v>0</v>
      </c>
      <c r="K72" s="137">
        <f>IF(K63&lt;=Inicio!$D$13,(+J72*$C$85)+J72,0)</f>
        <v>0</v>
      </c>
      <c r="L72" s="137">
        <f>IF(L63&lt;=Inicio!$D$13,(+K72*$C$85)+K72,0)</f>
        <v>0</v>
      </c>
      <c r="M72" s="137">
        <f>IF(M63&lt;=Inicio!$D$13,(+L72*$C$85)+L72,0)</f>
        <v>0</v>
      </c>
      <c r="N72" s="137">
        <f>IF(N63&lt;=Inicio!$D$13,(+M72*$C$85)+M72,0)</f>
        <v>0</v>
      </c>
      <c r="O72" s="137">
        <f>IF(O63&lt;=Inicio!$D$13,(+N72*$C$85)+N72,0)</f>
        <v>0</v>
      </c>
      <c r="P72" s="137">
        <f>IF(P63&lt;=Inicio!$D$13,(+O72*$C$85)+O72,0)</f>
        <v>0</v>
      </c>
      <c r="Q72" s="137">
        <f>IF(Q63&lt;=Inicio!$D$13,(+P72*$C$85)+P72,0)</f>
        <v>0</v>
      </c>
      <c r="R72" s="137">
        <f>IF(R63&lt;=Inicio!$D$13,(+Q72*$C$85)+Q72,0)</f>
        <v>0</v>
      </c>
    </row>
    <row r="73" spans="2:18" ht="16.5" thickTop="1" thickBot="1" x14ac:dyDescent="0.3">
      <c r="B73" s="129" t="s">
        <v>62</v>
      </c>
      <c r="C73" s="130"/>
      <c r="D73" s="130">
        <f>SUM(D70:D72)</f>
        <v>216328320</v>
      </c>
      <c r="E73" s="130">
        <f>SUM(E70:E72)</f>
        <v>222818169.59999999</v>
      </c>
      <c r="F73" s="130">
        <f>SUM(F70:F72)</f>
        <v>229502714.68799999</v>
      </c>
      <c r="G73" s="130">
        <f>SUM(G70:G72)</f>
        <v>0</v>
      </c>
      <c r="H73" s="130">
        <f>SUM(H70:H72)</f>
        <v>0</v>
      </c>
      <c r="I73" s="141">
        <f t="shared" ref="I73:R73" si="1">SUM(I70:I72)</f>
        <v>0</v>
      </c>
      <c r="J73" s="141">
        <f t="shared" si="1"/>
        <v>0</v>
      </c>
      <c r="K73" s="141">
        <f t="shared" si="1"/>
        <v>0</v>
      </c>
      <c r="L73" s="141">
        <f t="shared" si="1"/>
        <v>0</v>
      </c>
      <c r="M73" s="141">
        <f t="shared" si="1"/>
        <v>0</v>
      </c>
      <c r="N73" s="141">
        <f t="shared" si="1"/>
        <v>0</v>
      </c>
      <c r="O73" s="141">
        <f t="shared" si="1"/>
        <v>0</v>
      </c>
      <c r="P73" s="141">
        <f t="shared" si="1"/>
        <v>0</v>
      </c>
      <c r="Q73" s="141">
        <f t="shared" si="1"/>
        <v>0</v>
      </c>
      <c r="R73" s="141">
        <f t="shared" si="1"/>
        <v>0</v>
      </c>
    </row>
    <row r="74" spans="2:18" ht="13.5" thickTop="1" x14ac:dyDescent="0.2">
      <c r="B74" s="139"/>
      <c r="C74" s="134"/>
      <c r="D74" s="145">
        <f>+D73/D83</f>
        <v>0.22222222222222221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40"/>
    </row>
    <row r="75" spans="2:18" ht="13.5" thickBot="1" x14ac:dyDescent="0.25">
      <c r="B75" s="139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40"/>
    </row>
    <row r="76" spans="2:18" ht="16.5" thickTop="1" thickBot="1" x14ac:dyDescent="0.3">
      <c r="B76" s="99" t="s">
        <v>65</v>
      </c>
      <c r="C76" s="103"/>
      <c r="D76" s="99">
        <v>1</v>
      </c>
      <c r="E76" s="99">
        <v>2</v>
      </c>
      <c r="F76" s="99">
        <v>3</v>
      </c>
      <c r="G76" s="99">
        <v>4</v>
      </c>
      <c r="H76" s="99">
        <v>5</v>
      </c>
      <c r="I76" s="136">
        <v>6</v>
      </c>
      <c r="J76" s="136">
        <v>7</v>
      </c>
      <c r="K76" s="136">
        <v>8</v>
      </c>
      <c r="L76" s="136">
        <v>9</v>
      </c>
      <c r="M76" s="136">
        <v>10</v>
      </c>
      <c r="N76" s="136">
        <v>11</v>
      </c>
      <c r="O76" s="136">
        <v>12</v>
      </c>
      <c r="P76" s="136">
        <v>13</v>
      </c>
      <c r="Q76" s="136">
        <v>14</v>
      </c>
      <c r="R76" s="136">
        <v>15</v>
      </c>
    </row>
    <row r="77" spans="2:18" ht="16.5" thickTop="1" thickBot="1" x14ac:dyDescent="0.3">
      <c r="B77" s="100" t="s">
        <v>56</v>
      </c>
      <c r="C77" s="100"/>
      <c r="D77" s="113">
        <f>+G47</f>
        <v>360000000</v>
      </c>
      <c r="E77" s="113">
        <f>IF(E63&lt;=Inicio!$D$13,(+D77*$C$85)+D77,0)</f>
        <v>370800000</v>
      </c>
      <c r="F77" s="113">
        <f>IF(F63&lt;=Inicio!$D$13,(+E77*$C$85)+E77,0)</f>
        <v>381924000</v>
      </c>
      <c r="G77" s="113">
        <f>IF(G63&lt;=Inicio!$D$13,(+F77*$C$85)+F77,0)</f>
        <v>0</v>
      </c>
      <c r="H77" s="113">
        <f>IF(H63&lt;=Inicio!$D$13,(+G77*$C$85)+G77,0)</f>
        <v>0</v>
      </c>
      <c r="I77" s="137">
        <f>IF(I63&lt;=Inicio!$D$13,(+H77*$C$85)+H77,0)</f>
        <v>0</v>
      </c>
      <c r="J77" s="137">
        <f>IF(J63&lt;=Inicio!$D$13,(+I77*$C$85)+I77,0)</f>
        <v>0</v>
      </c>
      <c r="K77" s="137">
        <f>IF(K63&lt;=Inicio!$D$13,(+J77*$C$85)+J77,0)</f>
        <v>0</v>
      </c>
      <c r="L77" s="137">
        <f>IF(L63&lt;=Inicio!$D$13,(+K77*$C$85)+K77,0)</f>
        <v>0</v>
      </c>
      <c r="M77" s="137">
        <f>IF(M63&lt;=Inicio!$D$13,(+L77*$C$85)+L77,0)</f>
        <v>0</v>
      </c>
      <c r="N77" s="137">
        <f>IF(N63&lt;=Inicio!$D$13,(+M77*$C$85)+M77,0)</f>
        <v>0</v>
      </c>
      <c r="O77" s="137">
        <f>IF(O63&lt;=Inicio!$D$13,(+N77*$C$85)+N77,0)</f>
        <v>0</v>
      </c>
      <c r="P77" s="137">
        <f>IF(P63&lt;=Inicio!$D$13,(+O77*$C$85)+O77,0)</f>
        <v>0</v>
      </c>
      <c r="Q77" s="137">
        <f>IF(Q63&lt;=Inicio!$D$13,(+P77*$C$85)+P77,0)</f>
        <v>0</v>
      </c>
      <c r="R77" s="137">
        <f>IF(R63&lt;=Inicio!$D$13,(+Q77*$C$85)+Q77,0)</f>
        <v>0</v>
      </c>
    </row>
    <row r="78" spans="2:18" ht="16.5" thickTop="1" thickBot="1" x14ac:dyDescent="0.3">
      <c r="B78" s="100" t="s">
        <v>58</v>
      </c>
      <c r="C78" s="100"/>
      <c r="D78" s="113">
        <f>+G52+G53+G54+G55</f>
        <v>79120800</v>
      </c>
      <c r="E78" s="113">
        <f>IF(E63&lt;=Inicio!$D$13,(+D78*$C$85)+D78,0)</f>
        <v>81494424</v>
      </c>
      <c r="F78" s="113">
        <f>IF(F63&lt;=Inicio!$D$13,(+E78*$C$85)+E78,0)</f>
        <v>83939256.719999999</v>
      </c>
      <c r="G78" s="113">
        <f>IF(G63&lt;=Inicio!$D$13,(+F78*$C$85)+F78,0)</f>
        <v>0</v>
      </c>
      <c r="H78" s="113">
        <f>IF(H63&lt;=Inicio!$D$13,(+G78*$C$85)+G78,0)</f>
        <v>0</v>
      </c>
      <c r="I78" s="137">
        <f>IF(I63&lt;=Inicio!$D$13,(+H78*$C$85)+H78,0)</f>
        <v>0</v>
      </c>
      <c r="J78" s="137">
        <f>IF(J63&lt;=Inicio!$D$13,(+I78*$C$85)+I78,0)</f>
        <v>0</v>
      </c>
      <c r="K78" s="137">
        <f>IF(K63&lt;=Inicio!$D$13,(+J78*$C$85)+J78,0)</f>
        <v>0</v>
      </c>
      <c r="L78" s="137">
        <f>IF(L63&lt;=Inicio!$D$13,(+K78*$C$85)+K78,0)</f>
        <v>0</v>
      </c>
      <c r="M78" s="137">
        <f>IF(M63&lt;=Inicio!$D$13,(+L78*$C$85)+L78,0)</f>
        <v>0</v>
      </c>
      <c r="N78" s="137">
        <f>IF(N63&lt;=Inicio!$D$13,(+M78*$C$85)+M78,0)</f>
        <v>0</v>
      </c>
      <c r="O78" s="137">
        <f>IF(O63&lt;=Inicio!$D$13,(+N78*$C$85)+N78,0)</f>
        <v>0</v>
      </c>
      <c r="P78" s="137">
        <f>IF(P63&lt;=Inicio!$D$13,(+O78*$C$85)+O78,0)</f>
        <v>0</v>
      </c>
      <c r="Q78" s="137">
        <f>IF(Q63&lt;=Inicio!$D$13,(+P78*$C$85)+P78,0)</f>
        <v>0</v>
      </c>
      <c r="R78" s="137">
        <f>IF(R63&lt;=Inicio!$D$13,(+Q78*$C$85)+Q78,0)</f>
        <v>0</v>
      </c>
    </row>
    <row r="79" spans="2:18" ht="16.5" thickTop="1" thickBot="1" x14ac:dyDescent="0.3">
      <c r="B79" s="100" t="s">
        <v>112</v>
      </c>
      <c r="C79" s="100"/>
      <c r="D79" s="113">
        <f>+G49+G50</f>
        <v>101700000</v>
      </c>
      <c r="E79" s="113">
        <f>IF(E63&lt;=Inicio!$D$13,(+D79*$C$85)+D79,0)</f>
        <v>104751000</v>
      </c>
      <c r="F79" s="113">
        <f>IF(F63&lt;=Inicio!$D$13,(+E79*$C$85)+E79,0)</f>
        <v>107893530</v>
      </c>
      <c r="G79" s="113">
        <f>IF(G63&lt;=Inicio!$D$13,(+F79*$C$85)+F79,0)</f>
        <v>0</v>
      </c>
      <c r="H79" s="113">
        <f>IF(H63&lt;=Inicio!$D$13,(+G79*$C$85)+G79,0)</f>
        <v>0</v>
      </c>
      <c r="I79" s="137">
        <f>IF(I63&lt;=Inicio!$D$13,(+H79*$C$85)+H79,0)</f>
        <v>0</v>
      </c>
      <c r="J79" s="137">
        <f>IF(J63&lt;=Inicio!$D$13,(+I79*$C$85)+I79,0)</f>
        <v>0</v>
      </c>
      <c r="K79" s="137">
        <f>IF(K63&lt;=Inicio!$D$13,(+J79*$C$85)+J79,0)</f>
        <v>0</v>
      </c>
      <c r="L79" s="137">
        <f>IF(L63&lt;=Inicio!$D$13,(+K79*$C$85)+K79,0)</f>
        <v>0</v>
      </c>
      <c r="M79" s="137">
        <f>IF(M63&lt;=Inicio!$D$13,(+L79*$C$85)+L79,0)</f>
        <v>0</v>
      </c>
      <c r="N79" s="137">
        <f>IF(N63&lt;=Inicio!$D$13,(+M79*$C$85)+M79,0)</f>
        <v>0</v>
      </c>
      <c r="O79" s="137">
        <f>IF(O63&lt;=Inicio!$D$13,(+N79*$C$85)+N79,0)</f>
        <v>0</v>
      </c>
      <c r="P79" s="137">
        <f>IF(P63&lt;=Inicio!$D$13,(+O79*$C$85)+O79,0)</f>
        <v>0</v>
      </c>
      <c r="Q79" s="137">
        <f>IF(Q63&lt;=Inicio!$D$13,(+P79*$C$85)+P79,0)</f>
        <v>0</v>
      </c>
      <c r="R79" s="137">
        <f>IF(R63&lt;=Inicio!$D$13,(+Q79*$C$85)+Q79,0)</f>
        <v>0</v>
      </c>
    </row>
    <row r="80" spans="2:18" ht="16.5" thickTop="1" thickBot="1" x14ac:dyDescent="0.3">
      <c r="B80" s="142" t="s">
        <v>62</v>
      </c>
      <c r="C80" s="103"/>
      <c r="D80" s="110">
        <f>SUM(D77:D79)</f>
        <v>540820800</v>
      </c>
      <c r="E80" s="110">
        <f t="shared" ref="E80:R80" si="2">SUM(E77:E79)</f>
        <v>557045424</v>
      </c>
      <c r="F80" s="110">
        <f t="shared" si="2"/>
        <v>573756786.72000003</v>
      </c>
      <c r="G80" s="110">
        <f t="shared" si="2"/>
        <v>0</v>
      </c>
      <c r="H80" s="110">
        <f t="shared" si="2"/>
        <v>0</v>
      </c>
      <c r="I80" s="141">
        <f t="shared" si="2"/>
        <v>0</v>
      </c>
      <c r="J80" s="141">
        <f t="shared" si="2"/>
        <v>0</v>
      </c>
      <c r="K80" s="141">
        <f t="shared" si="2"/>
        <v>0</v>
      </c>
      <c r="L80" s="141">
        <f t="shared" si="2"/>
        <v>0</v>
      </c>
      <c r="M80" s="141">
        <f t="shared" si="2"/>
        <v>0</v>
      </c>
      <c r="N80" s="141">
        <f t="shared" si="2"/>
        <v>0</v>
      </c>
      <c r="O80" s="141">
        <f t="shared" si="2"/>
        <v>0</v>
      </c>
      <c r="P80" s="141">
        <f t="shared" si="2"/>
        <v>0</v>
      </c>
      <c r="Q80" s="141">
        <f t="shared" si="2"/>
        <v>0</v>
      </c>
      <c r="R80" s="141">
        <f t="shared" si="2"/>
        <v>0</v>
      </c>
    </row>
    <row r="81" spans="2:18" ht="14.25" thickTop="1" thickBot="1" x14ac:dyDescent="0.25">
      <c r="B81" s="139"/>
      <c r="C81" s="134"/>
      <c r="D81" s="145">
        <f>+D80/D83</f>
        <v>0.55555555555555558</v>
      </c>
      <c r="E81" s="143"/>
      <c r="F81" s="143"/>
      <c r="G81" s="143"/>
      <c r="H81" s="143"/>
      <c r="I81" s="134"/>
      <c r="J81" s="134"/>
      <c r="K81" s="134"/>
      <c r="L81" s="134"/>
      <c r="M81" s="134"/>
      <c r="N81" s="134"/>
      <c r="O81" s="134"/>
      <c r="P81" s="134"/>
      <c r="Q81" s="134"/>
      <c r="R81" s="140"/>
    </row>
    <row r="82" spans="2:18" ht="16.5" thickTop="1" thickBot="1" x14ac:dyDescent="0.3">
      <c r="B82" s="99" t="s">
        <v>59</v>
      </c>
      <c r="C82" s="103"/>
      <c r="D82" s="99">
        <v>1</v>
      </c>
      <c r="E82" s="99">
        <v>2</v>
      </c>
      <c r="F82" s="99">
        <v>3</v>
      </c>
      <c r="G82" s="99">
        <v>4</v>
      </c>
      <c r="H82" s="99">
        <v>5</v>
      </c>
      <c r="I82" s="136">
        <v>6</v>
      </c>
      <c r="J82" s="136">
        <v>7</v>
      </c>
      <c r="K82" s="136">
        <v>8</v>
      </c>
      <c r="L82" s="136">
        <v>9</v>
      </c>
      <c r="M82" s="136">
        <v>10</v>
      </c>
      <c r="N82" s="136">
        <v>11</v>
      </c>
      <c r="O82" s="136">
        <v>12</v>
      </c>
      <c r="P82" s="136">
        <v>13</v>
      </c>
      <c r="Q82" s="136">
        <v>14</v>
      </c>
      <c r="R82" s="136">
        <v>15</v>
      </c>
    </row>
    <row r="83" spans="2:18" s="144" customFormat="1" ht="16.5" thickTop="1" thickBot="1" x14ac:dyDescent="0.3">
      <c r="B83" s="130"/>
      <c r="C83" s="130"/>
      <c r="D83" s="130">
        <f>+D67+D73+D80</f>
        <v>973477440</v>
      </c>
      <c r="E83" s="130">
        <f t="shared" ref="E83:R83" si="3">+E67+E73+E80</f>
        <v>1002681763.2</v>
      </c>
      <c r="F83" s="130">
        <f t="shared" si="3"/>
        <v>1032762216.096</v>
      </c>
      <c r="G83" s="130">
        <f t="shared" si="3"/>
        <v>0</v>
      </c>
      <c r="H83" s="130">
        <f t="shared" si="3"/>
        <v>0</v>
      </c>
      <c r="I83" s="138">
        <f t="shared" si="3"/>
        <v>0</v>
      </c>
      <c r="J83" s="138">
        <f t="shared" si="3"/>
        <v>0</v>
      </c>
      <c r="K83" s="138">
        <f t="shared" si="3"/>
        <v>0</v>
      </c>
      <c r="L83" s="138">
        <f t="shared" si="3"/>
        <v>0</v>
      </c>
      <c r="M83" s="138">
        <f t="shared" si="3"/>
        <v>0</v>
      </c>
      <c r="N83" s="138">
        <f t="shared" si="3"/>
        <v>0</v>
      </c>
      <c r="O83" s="138">
        <f t="shared" si="3"/>
        <v>0</v>
      </c>
      <c r="P83" s="138">
        <f t="shared" si="3"/>
        <v>0</v>
      </c>
      <c r="Q83" s="138">
        <f t="shared" si="3"/>
        <v>0</v>
      </c>
      <c r="R83" s="138">
        <f t="shared" si="3"/>
        <v>0</v>
      </c>
    </row>
    <row r="84" spans="2:18" ht="14.25" thickTop="1" thickBot="1" x14ac:dyDescent="0.25">
      <c r="B84" s="134"/>
      <c r="C84" s="134"/>
      <c r="D84" s="145"/>
      <c r="E84" s="134"/>
      <c r="F84" s="134"/>
      <c r="G84" s="134"/>
      <c r="H84" s="134"/>
    </row>
    <row r="85" spans="2:18" ht="16.5" thickTop="1" thickBot="1" x14ac:dyDescent="0.3">
      <c r="B85" s="100" t="s">
        <v>113</v>
      </c>
      <c r="C85" s="114">
        <f>Inicio!F51</f>
        <v>0.03</v>
      </c>
      <c r="D85" s="106"/>
    </row>
    <row r="86" spans="2:18" ht="13.5" thickTop="1" x14ac:dyDescent="0.2">
      <c r="D86" s="106"/>
    </row>
  </sheetData>
  <sheetProtection password="99B7" sheet="1" objects="1" scenarios="1"/>
  <customSheetViews>
    <customSheetView guid="{4BF10618-D357-11D5-9338-EFF21189730A}" showGridLines="0" showRuler="0" topLeftCell="A64">
      <selection activeCell="A4" sqref="A4"/>
      <rowBreaks count="1" manualBreakCount="1">
        <brk id="58" max="16" man="1"/>
      </rowBreaks>
      <pageMargins left="0.78740157480314965" right="0.78740157480314965" top="0.43307086614173229" bottom="0.39370078740157483" header="0" footer="0"/>
      <printOptions horizontalCentered="1"/>
      <pageSetup scale="55" orientation="landscape" horizontalDpi="300" verticalDpi="300" r:id="rId1"/>
      <headerFooter alignWithMargins="0"/>
    </customSheetView>
  </customSheetViews>
  <mergeCells count="13">
    <mergeCell ref="B62:F62"/>
    <mergeCell ref="B61:R61"/>
    <mergeCell ref="B3:G3"/>
    <mergeCell ref="B2:G2"/>
    <mergeCell ref="B59:R59"/>
    <mergeCell ref="B60:R60"/>
    <mergeCell ref="B4:G4"/>
    <mergeCell ref="B14:G14"/>
    <mergeCell ref="B5:G5"/>
    <mergeCell ref="B23:G23"/>
    <mergeCell ref="B31:G31"/>
    <mergeCell ref="B40:G40"/>
    <mergeCell ref="B48:G48"/>
  </mergeCells>
  <printOptions horizontalCentered="1"/>
  <pageMargins left="0.78740157480314965" right="0.78740157480314965" top="0.43307086614173229" bottom="0.39370078740157483" header="0" footer="0"/>
  <pageSetup scale="55" orientation="landscape" horizontalDpi="300" verticalDpi="300" r:id="rId2"/>
  <headerFooter alignWithMargins="0"/>
  <rowBreaks count="1" manualBreakCount="1">
    <brk id="58" min="1" max="17" man="1"/>
  </rowBreaks>
  <ignoredErrors>
    <ignoredError sqref="B2:G4 E8:E13 B25:H31 B59:R6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U37"/>
  <sheetViews>
    <sheetView showGridLines="0" showRowColHeaders="0" workbookViewId="0">
      <selection activeCell="E9" sqref="E9"/>
    </sheetView>
  </sheetViews>
  <sheetFormatPr baseColWidth="10" defaultColWidth="0" defaultRowHeight="12.75" zeroHeight="1" x14ac:dyDescent="0.2"/>
  <cols>
    <col min="1" max="1" width="5.5703125" style="79" customWidth="1"/>
    <col min="2" max="2" width="36.28515625" style="79" bestFit="1" customWidth="1"/>
    <col min="3" max="3" width="9.140625" style="79" hidden="1" customWidth="1"/>
    <col min="4" max="7" width="17.28515625" style="79" bestFit="1" customWidth="1"/>
    <col min="8" max="9" width="16.140625" style="79" hidden="1" customWidth="1"/>
    <col min="10" max="10" width="4.7109375" style="79" hidden="1" customWidth="1"/>
    <col min="11" max="13" width="2" style="79" hidden="1" customWidth="1"/>
    <col min="14" max="19" width="3" style="79" hidden="1" customWidth="1"/>
    <col min="20" max="20" width="1.5703125" style="79" hidden="1" customWidth="1"/>
    <col min="21" max="21" width="7.42578125" style="79" customWidth="1"/>
    <col min="22" max="16384" width="11.42578125" style="79" hidden="1"/>
  </cols>
  <sheetData>
    <row r="1" spans="2:21" x14ac:dyDescent="0.2"/>
    <row r="2" spans="2:21" ht="18" x14ac:dyDescent="0.25">
      <c r="B2" s="295" t="str">
        <f>'presupuesto compras y ventas'!B1:G1</f>
        <v>PROYECTO E-VISTETIC S.A.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2:21" ht="15" x14ac:dyDescent="0.25">
      <c r="B3" s="307" t="s">
        <v>204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</row>
    <row r="4" spans="2:21" ht="13.5" thickBot="1" x14ac:dyDescent="0.25">
      <c r="B4" s="293" t="str">
        <f>IF(Inicio!$F$13="Años","En Años","En Meses")</f>
        <v>En Años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</row>
    <row r="5" spans="2:21" ht="16.5" thickTop="1" thickBot="1" x14ac:dyDescent="0.3">
      <c r="B5" s="99" t="s">
        <v>36</v>
      </c>
      <c r="C5" s="99" t="s">
        <v>168</v>
      </c>
      <c r="D5" s="99" t="s">
        <v>67</v>
      </c>
      <c r="E5" s="99">
        <v>1</v>
      </c>
      <c r="F5" s="99">
        <v>2</v>
      </c>
      <c r="G5" s="99">
        <v>3</v>
      </c>
      <c r="H5" s="99">
        <v>4</v>
      </c>
      <c r="I5" s="99">
        <v>5</v>
      </c>
      <c r="J5" s="99">
        <v>6</v>
      </c>
      <c r="K5" s="99">
        <v>7</v>
      </c>
      <c r="L5" s="99">
        <v>8</v>
      </c>
      <c r="M5" s="99">
        <v>9</v>
      </c>
      <c r="N5" s="99">
        <v>10</v>
      </c>
      <c r="O5" s="99">
        <v>11</v>
      </c>
      <c r="P5" s="99">
        <v>12</v>
      </c>
      <c r="Q5" s="99">
        <v>13</v>
      </c>
      <c r="R5" s="99">
        <v>14</v>
      </c>
      <c r="S5" s="99">
        <v>15</v>
      </c>
    </row>
    <row r="6" spans="2:21" ht="16.5" thickTop="1" thickBot="1" x14ac:dyDescent="0.3">
      <c r="B6" s="289" t="s">
        <v>69</v>
      </c>
      <c r="C6" s="290"/>
      <c r="D6" s="290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21" ht="16.5" thickTop="1" thickBot="1" x14ac:dyDescent="0.3">
      <c r="B7" s="107" t="str">
        <f>Inicio!C87</f>
        <v>Herramienta Web 2</v>
      </c>
      <c r="C7" s="107">
        <v>0</v>
      </c>
      <c r="D7" s="107">
        <f>Inicio!E87</f>
        <v>235000000</v>
      </c>
      <c r="E7" s="107">
        <f>IF(E$5&lt;=$C7,(IF(E$5&lt;=Inicio!$D$13,SLN($D7,0,$C7),0)),0)</f>
        <v>0</v>
      </c>
      <c r="F7" s="107">
        <f>IF(F$5&lt;=$C7,(IF(F$5&lt;=Inicio!$D$13,SLN($D7,0,$C7),0)),0)</f>
        <v>0</v>
      </c>
      <c r="G7" s="107">
        <f>IF(G$5&lt;=$C7,(IF(G$5&lt;=Inicio!$D$13,SLN($D7,0,$C7),0)),0)</f>
        <v>0</v>
      </c>
      <c r="H7" s="107">
        <f>IF(H$5&lt;=$C7,(IF(H$5&lt;=Inicio!$D$13,SLN($D7,0,$C7),0)),0)</f>
        <v>0</v>
      </c>
      <c r="I7" s="107">
        <f>IF(I$5&lt;=$C7,(IF(I$5&lt;=Inicio!$D$13,SLN($D7,0,$C7),0)),0)</f>
        <v>0</v>
      </c>
      <c r="J7" s="113">
        <f>IF(J$5&lt;=$C7,(IF(J$5&lt;=Inicio!$D$13,SLN($D7,0,$C7),0)),0)</f>
        <v>0</v>
      </c>
      <c r="K7" s="113">
        <f>IF(K$5&lt;=$C7,(IF(K$5&lt;=Inicio!$D$13,SLN($D7,0,$C7),0)),0)</f>
        <v>0</v>
      </c>
      <c r="L7" s="113">
        <f>IF(L$5&lt;=$C7,(IF(L$5&lt;=Inicio!$D$13,SLN($D7,0,$C7),0)),0)</f>
        <v>0</v>
      </c>
      <c r="M7" s="113">
        <f>IF(M$5&lt;=$C7,(IF(M$5&lt;=Inicio!$D$13,SLN($D7,0,$C7),0)),0)</f>
        <v>0</v>
      </c>
      <c r="N7" s="113">
        <f>IF(N$5&lt;=$C7,(IF(N$5&lt;=Inicio!$D$13,SLN($D7,0,$C7),0)),0)</f>
        <v>0</v>
      </c>
      <c r="O7" s="113">
        <f>IF(O$5&lt;=$C7,(IF(O$5&lt;=Inicio!$D$13,SLN($D7,0,$C7),0)),0)</f>
        <v>0</v>
      </c>
      <c r="P7" s="113">
        <f>IF(P$5&lt;=$C7,(IF(P$5&lt;=Inicio!$D$13,SLN($D7,0,$C7),0)),0)</f>
        <v>0</v>
      </c>
      <c r="Q7" s="113">
        <f>IF(Q$5&lt;=$C7,(IF(Q$5&lt;=Inicio!$D$13,SLN($D7,0,$C7),0)),0)</f>
        <v>0</v>
      </c>
      <c r="R7" s="113">
        <f>IF(R$5&lt;=$C7,(IF(R$5&lt;=Inicio!$D$13,SLN($D7,0,$C7),0)),0)</f>
        <v>0</v>
      </c>
      <c r="S7" s="113">
        <f>IF(S$5&lt;=$C7,(IF(S$5&lt;=Inicio!$D$13,SLN($D7,0,$C7),0)),0)</f>
        <v>0</v>
      </c>
      <c r="T7" s="82"/>
      <c r="U7" s="82"/>
    </row>
    <row r="8" spans="2:21" ht="16.5" thickTop="1" thickBot="1" x14ac:dyDescent="0.3">
      <c r="B8" s="107" t="str">
        <f>Inicio!C88</f>
        <v>Software Contable</v>
      </c>
      <c r="C8" s="107">
        <f>IF(Inicio!$F$13="Años",Inicio!D88,Inicio!D88*12)</f>
        <v>3</v>
      </c>
      <c r="D8" s="107">
        <f>Inicio!E88</f>
        <v>75000000</v>
      </c>
      <c r="E8" s="107">
        <f>IF(E$5&lt;=$C8,(IF(E$5&lt;=Inicio!$D$13,SLN($D8,0,$C8),0)),0)</f>
        <v>25000000</v>
      </c>
      <c r="F8" s="107">
        <f>IF(F$5&lt;=$C8,(IF(F$5&lt;=Inicio!$D$13,SLN($D8,0,$C8),0)),0)</f>
        <v>25000000</v>
      </c>
      <c r="G8" s="107">
        <f>IF(G$5&lt;=$C8,(IF(G$5&lt;=Inicio!$D$13,SLN($D8,0,$C8),0)),0)</f>
        <v>25000000</v>
      </c>
      <c r="H8" s="107">
        <f>IF(H$5&lt;=$C8,(IF(H$5&lt;=Inicio!$D$13,SLN($D8,0,$C8),0)),0)</f>
        <v>0</v>
      </c>
      <c r="I8" s="107">
        <f>IF(I$5&lt;=$C8,(IF(I$5&lt;=Inicio!$D$13,SLN($D8,0,$C8),0)),0)</f>
        <v>0</v>
      </c>
      <c r="J8" s="113">
        <f>IF(J$5&lt;=$C8,(IF(J$5&lt;=Inicio!$D$13,SLN($D8,0,$C8),0)),0)</f>
        <v>0</v>
      </c>
      <c r="K8" s="113">
        <f>IF(K$5&lt;=$C8,(IF(K$5&lt;=Inicio!$D$13,SLN($D8,0,$C8),0)),0)</f>
        <v>0</v>
      </c>
      <c r="L8" s="113">
        <f>IF(L$5&lt;=$C8,(IF(L$5&lt;=Inicio!$D$13,SLN($D8,0,$C8),0)),0)</f>
        <v>0</v>
      </c>
      <c r="M8" s="113">
        <f>IF(M$5&lt;=$C8,(IF(M$5&lt;=Inicio!$D$13,SLN($D8,0,$C8),0)),0)</f>
        <v>0</v>
      </c>
      <c r="N8" s="113">
        <f>IF(N$5&lt;=$C8,(IF(N$5&lt;=Inicio!$D$13,SLN($D8,0,$C8),0)),0)</f>
        <v>0</v>
      </c>
      <c r="O8" s="113">
        <f>IF(O$5&lt;=$C8,(IF(O$5&lt;=Inicio!$D$13,SLN($D8,0,$C8),0)),0)</f>
        <v>0</v>
      </c>
      <c r="P8" s="113">
        <f>IF(P$5&lt;=$C8,(IF(P$5&lt;=Inicio!$D$13,SLN($D8,0,$C8),0)),0)</f>
        <v>0</v>
      </c>
      <c r="Q8" s="113">
        <f>IF(Q$5&lt;=$C8,(IF(Q$5&lt;=Inicio!$D$13,SLN($D8,0,$C8),0)),0)</f>
        <v>0</v>
      </c>
      <c r="R8" s="113">
        <f>IF(R$5&lt;=$C8,(IF(R$5&lt;=Inicio!$D$13,SLN($D8,0,$C8),0)),0)</f>
        <v>0</v>
      </c>
      <c r="S8" s="113">
        <f>IF(S$5&lt;=$C8,(IF(S$5&lt;=Inicio!$D$13,SLN($D8,0,$C8),0)),0)</f>
        <v>0</v>
      </c>
      <c r="T8" s="82"/>
      <c r="U8" s="82"/>
    </row>
    <row r="9" spans="2:21" ht="16.5" thickTop="1" thickBot="1" x14ac:dyDescent="0.3">
      <c r="B9" s="107" t="str">
        <f>Inicio!C89</f>
        <v>Formula Magistral</v>
      </c>
      <c r="C9" s="107">
        <f>IF(Inicio!$F$13="Años",Inicio!D89,Inicio!D89*12)</f>
        <v>3</v>
      </c>
      <c r="D9" s="107">
        <f>Inicio!E89</f>
        <v>60000000</v>
      </c>
      <c r="E9" s="107">
        <f>IF(E$5&lt;=$C9,(IF(E$5&lt;=Inicio!$D$13,SLN($D9,0,$C9),0)),0)</f>
        <v>20000000</v>
      </c>
      <c r="F9" s="107">
        <f>IF(F$5&lt;=$C9,(IF(F$5&lt;=Inicio!$D$13,SLN($D9,0,$C9),0)),0)</f>
        <v>20000000</v>
      </c>
      <c r="G9" s="107">
        <f>IF(G$5&lt;=$C9,(IF(G$5&lt;=Inicio!$D$13,SLN($D9,0,$C9),0)),0)</f>
        <v>20000000</v>
      </c>
      <c r="H9" s="107">
        <f>IF(H$5&lt;=$C9,(IF(H$5&lt;=Inicio!$D$13,SLN($D9,0,$C9),0)),0)</f>
        <v>0</v>
      </c>
      <c r="I9" s="107">
        <f>IF(I$5&lt;=$C9,(IF(I$5&lt;=Inicio!$D$13,SLN($D9,0,$C9),0)),0)</f>
        <v>0</v>
      </c>
      <c r="J9" s="113">
        <f>IF(J$5&lt;=$C9,(IF(J$5&lt;=Inicio!$D$13,SLN($D9,0,$C9),0)),0)</f>
        <v>0</v>
      </c>
      <c r="K9" s="113">
        <f>IF(K$5&lt;=$C9,(IF(K$5&lt;=Inicio!$D$13,SLN($D9,0,$C9),0)),0)</f>
        <v>0</v>
      </c>
      <c r="L9" s="113">
        <f>IF(L$5&lt;=$C9,(IF(L$5&lt;=Inicio!$D$13,SLN($D9,0,$C9),0)),0)</f>
        <v>0</v>
      </c>
      <c r="M9" s="113">
        <f>IF(M$5&lt;=$C9,(IF(M$5&lt;=Inicio!$D$13,SLN($D9,0,$C9),0)),0)</f>
        <v>0</v>
      </c>
      <c r="N9" s="113">
        <f>IF(N$5&lt;=$C9,(IF(N$5&lt;=Inicio!$D$13,SLN($D9,0,$C9),0)),0)</f>
        <v>0</v>
      </c>
      <c r="O9" s="113">
        <f>IF(O$5&lt;=$C9,(IF(O$5&lt;=Inicio!$D$13,SLN($D9,0,$C9),0)),0)</f>
        <v>0</v>
      </c>
      <c r="P9" s="113">
        <f>IF(P$5&lt;=$C9,(IF(P$5&lt;=Inicio!$D$13,SLN($D9,0,$C9),0)),0)</f>
        <v>0</v>
      </c>
      <c r="Q9" s="113">
        <f>IF(Q$5&lt;=$C9,(IF(Q$5&lt;=Inicio!$D$13,SLN($D9,0,$C9),0)),0)</f>
        <v>0</v>
      </c>
      <c r="R9" s="113">
        <f>IF(R$5&lt;=$C9,(IF(R$5&lt;=Inicio!$D$13,SLN($D9,0,$C9),0)),0)</f>
        <v>0</v>
      </c>
      <c r="S9" s="113">
        <f>IF(S$5&lt;=$C9,(IF(S$5&lt;=Inicio!$D$13,SLN($D9,0,$C9),0)),0)</f>
        <v>0</v>
      </c>
      <c r="T9" s="82"/>
      <c r="U9" s="82"/>
    </row>
    <row r="10" spans="2:21" ht="16.5" thickTop="1" thickBot="1" x14ac:dyDescent="0.3">
      <c r="B10" s="107" t="str">
        <f>Inicio!C90</f>
        <v>Muebles &amp; Enseres</v>
      </c>
      <c r="C10" s="107">
        <f>IF(Inicio!$F$13="Años",Inicio!D90,Inicio!D90*12)</f>
        <v>3</v>
      </c>
      <c r="D10" s="107">
        <f>Inicio!E90</f>
        <v>30000000</v>
      </c>
      <c r="E10" s="107">
        <f>IF(E$5&lt;=$C10,(IF(E$5&lt;=Inicio!$D$13,SLN($D10,0,$C10),0)),0)</f>
        <v>10000000</v>
      </c>
      <c r="F10" s="107">
        <f>IF(F$5&lt;=$C10,(IF(F$5&lt;=Inicio!$D$13,SLN($D10,0,$C10),0)),0)</f>
        <v>10000000</v>
      </c>
      <c r="G10" s="107">
        <f>IF(G$5&lt;=$C10,(IF(G$5&lt;=Inicio!$D$13,SLN($D10,0,$C10),0)),0)</f>
        <v>10000000</v>
      </c>
      <c r="H10" s="107">
        <f>IF(H$5&lt;=$C10,(IF(H$5&lt;=Inicio!$D$13,SLN($D10,0,$C10),0)),0)</f>
        <v>0</v>
      </c>
      <c r="I10" s="107">
        <f>IF(I$5&lt;=$C10,(IF(I$5&lt;=Inicio!$D$13,SLN($D10,0,$C10),0)),0)</f>
        <v>0</v>
      </c>
      <c r="J10" s="113">
        <f>IF(J$5&lt;=$C10,(IF(J$5&lt;=Inicio!$D$13,SLN($D10,0,$C10),0)),0)</f>
        <v>0</v>
      </c>
      <c r="K10" s="113">
        <f>IF(K$5&lt;=$C10,(IF(K$5&lt;=Inicio!$D$13,SLN($D10,0,$C10),0)),0)</f>
        <v>0</v>
      </c>
      <c r="L10" s="113">
        <f>IF(L$5&lt;=$C10,(IF(L$5&lt;=Inicio!$D$13,SLN($D10,0,$C10),0)),0)</f>
        <v>0</v>
      </c>
      <c r="M10" s="113">
        <f>IF(M$5&lt;=$C10,(IF(M$5&lt;=Inicio!$D$13,SLN($D10,0,$C10),0)),0)</f>
        <v>0</v>
      </c>
      <c r="N10" s="113">
        <f>IF(N$5&lt;=$C10,(IF(N$5&lt;=Inicio!$D$13,SLN($D10,0,$C10),0)),0)</f>
        <v>0</v>
      </c>
      <c r="O10" s="113">
        <f>IF(O$5&lt;=$C10,(IF(O$5&lt;=Inicio!$D$13,SLN($D10,0,$C10),0)),0)</f>
        <v>0</v>
      </c>
      <c r="P10" s="113">
        <f>IF(P$5&lt;=$C10,(IF(P$5&lt;=Inicio!$D$13,SLN($D10,0,$C10),0)),0)</f>
        <v>0</v>
      </c>
      <c r="Q10" s="113">
        <f>IF(Q$5&lt;=$C10,(IF(Q$5&lt;=Inicio!$D$13,SLN($D10,0,$C10),0)),0)</f>
        <v>0</v>
      </c>
      <c r="R10" s="113">
        <f>IF(R$5&lt;=$C10,(IF(R$5&lt;=Inicio!$D$13,SLN($D10,0,$C10),0)),0)</f>
        <v>0</v>
      </c>
      <c r="S10" s="113">
        <f>IF(S$5&lt;=$C10,(IF(S$5&lt;=Inicio!$D$13,SLN($D10,0,$C10),0)),0)</f>
        <v>0</v>
      </c>
      <c r="T10" s="82"/>
      <c r="U10" s="82"/>
    </row>
    <row r="11" spans="2:21" ht="16.5" hidden="1" thickTop="1" thickBot="1" x14ac:dyDescent="0.3">
      <c r="B11" s="107">
        <f>Inicio!C94</f>
        <v>0</v>
      </c>
      <c r="C11" s="107">
        <f>IF(Inicio!$F$13="Años",Inicio!D94,Inicio!D94*12)</f>
        <v>0</v>
      </c>
      <c r="D11" s="107">
        <f>Inicio!E94</f>
        <v>0</v>
      </c>
      <c r="E11" s="107">
        <f>IF(E$5&lt;=$C11,(IF(E$5&lt;=Inicio!$D$13,SLN($D11,0,$C11),0)),0)</f>
        <v>0</v>
      </c>
      <c r="F11" s="107">
        <f>IF(F$5&lt;=$C11,(IF(F$5&lt;=Inicio!$D$13,SLN($D11,0,$C11),0)),0)</f>
        <v>0</v>
      </c>
      <c r="G11" s="107">
        <f>IF(G$5&lt;=$C11,(IF(G$5&lt;=Inicio!$D$13,SLN($D11,0,$C11),0)),0)</f>
        <v>0</v>
      </c>
      <c r="H11" s="107">
        <f>IF(H$5&lt;=$C11,(IF(H$5&lt;=Inicio!$D$13,SLN($D11,0,$C11),0)),0)</f>
        <v>0</v>
      </c>
      <c r="I11" s="107">
        <f>IF(I$5&lt;=$C11,(IF(I$5&lt;=Inicio!$D$13,SLN($D11,0,$C11),0)),0)</f>
        <v>0</v>
      </c>
      <c r="J11" s="113">
        <f>IF(J$5&lt;=$C11,(IF(J$5&lt;=Inicio!$D$13,SLN($D11,0,$C11),0)),0)</f>
        <v>0</v>
      </c>
      <c r="K11" s="113">
        <f>IF(K$5&lt;=$C11,(IF(K$5&lt;=Inicio!$D$13,SLN($D11,0,$C11),0)),0)</f>
        <v>0</v>
      </c>
      <c r="L11" s="113">
        <f>IF(L$5&lt;=$C11,(IF(L$5&lt;=Inicio!$D$13,SLN($D11,0,$C11),0)),0)</f>
        <v>0</v>
      </c>
      <c r="M11" s="113">
        <f>IF(M$5&lt;=$C11,(IF(M$5&lt;=Inicio!$D$13,SLN($D11,0,$C11),0)),0)</f>
        <v>0</v>
      </c>
      <c r="N11" s="113">
        <f>IF(N$5&lt;=$C11,(IF(N$5&lt;=Inicio!$D$13,SLN($D11,0,$C11),0)),0)</f>
        <v>0</v>
      </c>
      <c r="O11" s="113">
        <f>IF(O$5&lt;=$C11,(IF(O$5&lt;=Inicio!$D$13,SLN($D11,0,$C11),0)),0)</f>
        <v>0</v>
      </c>
      <c r="P11" s="113">
        <f>IF(P$5&lt;=$C11,(IF(P$5&lt;=Inicio!$D$13,SLN($D11,0,$C11),0)),0)</f>
        <v>0</v>
      </c>
      <c r="Q11" s="113">
        <f>IF(Q$5&lt;=$C11,(IF(Q$5&lt;=Inicio!$D$13,SLN($D11,0,$C11),0)),0)</f>
        <v>0</v>
      </c>
      <c r="R11" s="113">
        <f>IF(R$5&lt;=$C11,(IF(R$5&lt;=Inicio!$D$13,SLN($D11,0,$C11),0)),0)</f>
        <v>0</v>
      </c>
      <c r="S11" s="113">
        <f>IF(S$5&lt;=$C11,(IF(S$5&lt;=Inicio!$D$13,SLN($D11,0,$C11),0)),0)</f>
        <v>0</v>
      </c>
      <c r="T11" s="82"/>
      <c r="U11" s="82"/>
    </row>
    <row r="12" spans="2:21" ht="16.5" hidden="1" thickTop="1" thickBot="1" x14ac:dyDescent="0.3">
      <c r="B12" s="107">
        <f>Inicio!C95</f>
        <v>0</v>
      </c>
      <c r="C12" s="107">
        <f>IF(Inicio!$F$13="Años",Inicio!D95,Inicio!D95*12)</f>
        <v>0</v>
      </c>
      <c r="D12" s="107">
        <f>Inicio!E95</f>
        <v>0</v>
      </c>
      <c r="E12" s="107">
        <f>IF(E$5&lt;=$C12,(IF(E$5&lt;=Inicio!$D$13,SLN($D12,0,$C12),0)),0)</f>
        <v>0</v>
      </c>
      <c r="F12" s="107">
        <f>IF(F$5&lt;=$C12,(IF(F$5&lt;=Inicio!$D$13,SLN($D12,0,$C12),0)),0)</f>
        <v>0</v>
      </c>
      <c r="G12" s="107">
        <f>IF(G$5&lt;=$C12,(IF(G$5&lt;=Inicio!$D$13,SLN($D12,0,$C12),0)),0)</f>
        <v>0</v>
      </c>
      <c r="H12" s="107">
        <f>IF(H$5&lt;=$C12,(IF(H$5&lt;=Inicio!$D$13,SLN($D12,0,$C12),0)),0)</f>
        <v>0</v>
      </c>
      <c r="I12" s="107">
        <f>IF(I$5&lt;=$C12,(IF(I$5&lt;=Inicio!$D$13,SLN($D12,0,$C12),0)),0)</f>
        <v>0</v>
      </c>
      <c r="J12" s="113">
        <f>IF(J$5&lt;=$C12,(IF(J$5&lt;=Inicio!$D$13,SLN($D12,0,$C12),0)),0)</f>
        <v>0</v>
      </c>
      <c r="K12" s="113">
        <f>IF(K$5&lt;=$C12,(IF(K$5&lt;=Inicio!$D$13,SLN($D12,0,$C12),0)),0)</f>
        <v>0</v>
      </c>
      <c r="L12" s="113">
        <f>IF(L$5&lt;=$C12,(IF(L$5&lt;=Inicio!$D$13,SLN($D12,0,$C12),0)),0)</f>
        <v>0</v>
      </c>
      <c r="M12" s="113">
        <f>IF(M$5&lt;=$C12,(IF(M$5&lt;=Inicio!$D$13,SLN($D12,0,$C12),0)),0)</f>
        <v>0</v>
      </c>
      <c r="N12" s="113">
        <f>IF(N$5&lt;=$C12,(IF(N$5&lt;=Inicio!$D$13,SLN($D12,0,$C12),0)),0)</f>
        <v>0</v>
      </c>
      <c r="O12" s="113">
        <f>IF(O$5&lt;=$C12,(IF(O$5&lt;=Inicio!$D$13,SLN($D12,0,$C12),0)),0)</f>
        <v>0</v>
      </c>
      <c r="P12" s="113">
        <f>IF(P$5&lt;=$C12,(IF(P$5&lt;=Inicio!$D$13,SLN($D12,0,$C12),0)),0)</f>
        <v>0</v>
      </c>
      <c r="Q12" s="113">
        <f>IF(Q$5&lt;=$C12,(IF(Q$5&lt;=Inicio!$D$13,SLN($D12,0,$C12),0)),0)</f>
        <v>0</v>
      </c>
      <c r="R12" s="113">
        <f>IF(R$5&lt;=$C12,(IF(R$5&lt;=Inicio!$D$13,SLN($D12,0,$C12),0)),0)</f>
        <v>0</v>
      </c>
      <c r="S12" s="113">
        <f>IF(S$5&lt;=$C12,(IF(S$5&lt;=Inicio!$D$13,SLN($D12,0,$C12),0)),0)</f>
        <v>0</v>
      </c>
      <c r="T12" s="82"/>
      <c r="U12" s="82"/>
    </row>
    <row r="13" spans="2:21" ht="16.5" hidden="1" thickTop="1" thickBot="1" x14ac:dyDescent="0.3">
      <c r="B13" s="107">
        <f>Inicio!C96</f>
        <v>0</v>
      </c>
      <c r="C13" s="107">
        <f>IF(Inicio!$F$13="Años",Inicio!D96,Inicio!D96*12)</f>
        <v>0</v>
      </c>
      <c r="D13" s="107">
        <f>Inicio!E96</f>
        <v>0</v>
      </c>
      <c r="E13" s="107">
        <f>IF(E$5&lt;=$C13,(IF(E$5&lt;=Inicio!$D$13,SLN($D13,0,$C13),0)),0)</f>
        <v>0</v>
      </c>
      <c r="F13" s="107">
        <f>IF(F$5&lt;=$C13,(IF(F$5&lt;=Inicio!$D$13,SLN($D13,0,$C13),0)),0)</f>
        <v>0</v>
      </c>
      <c r="G13" s="107">
        <f>IF(G$5&lt;=$C13,(IF(G$5&lt;=Inicio!$D$13,SLN($D13,0,$C13),0)),0)</f>
        <v>0</v>
      </c>
      <c r="H13" s="107">
        <f>IF(H$5&lt;=$C13,(IF(H$5&lt;=Inicio!$D$13,SLN($D13,0,$C13),0)),0)</f>
        <v>0</v>
      </c>
      <c r="I13" s="107">
        <f>IF(I$5&lt;=$C13,(IF(I$5&lt;=Inicio!$D$13,SLN($D13,0,$C13),0)),0)</f>
        <v>0</v>
      </c>
      <c r="J13" s="113">
        <f>IF(J$5&lt;=$C13,(IF(J$5&lt;=Inicio!$D$13,SLN($D13,0,$C13),0)),0)</f>
        <v>0</v>
      </c>
      <c r="K13" s="113">
        <f>IF(K$5&lt;=$C13,(IF(K$5&lt;=Inicio!$D$13,SLN($D13,0,$C13),0)),0)</f>
        <v>0</v>
      </c>
      <c r="L13" s="113">
        <f>IF(L$5&lt;=$C13,(IF(L$5&lt;=Inicio!$D$13,SLN($D13,0,$C13),0)),0)</f>
        <v>0</v>
      </c>
      <c r="M13" s="113">
        <f>IF(M$5&lt;=$C13,(IF(M$5&lt;=Inicio!$D$13,SLN($D13,0,$C13),0)),0)</f>
        <v>0</v>
      </c>
      <c r="N13" s="113">
        <f>IF(N$5&lt;=$C13,(IF(N$5&lt;=Inicio!$D$13,SLN($D13,0,$C13),0)),0)</f>
        <v>0</v>
      </c>
      <c r="O13" s="113">
        <f>IF(O$5&lt;=$C13,(IF(O$5&lt;=Inicio!$D$13,SLN($D13,0,$C13),0)),0)</f>
        <v>0</v>
      </c>
      <c r="P13" s="113">
        <f>IF(P$5&lt;=$C13,(IF(P$5&lt;=Inicio!$D$13,SLN($D13,0,$C13),0)),0)</f>
        <v>0</v>
      </c>
      <c r="Q13" s="113">
        <f>IF(Q$5&lt;=$C13,(IF(Q$5&lt;=Inicio!$D$13,SLN($D13,0,$C13),0)),0)</f>
        <v>0</v>
      </c>
      <c r="R13" s="113">
        <f>IF(R$5&lt;=$C13,(IF(R$5&lt;=Inicio!$D$13,SLN($D13,0,$C13),0)),0)</f>
        <v>0</v>
      </c>
      <c r="S13" s="113">
        <f>IF(S$5&lt;=$C13,(IF(S$5&lt;=Inicio!$D$13,SLN($D13,0,$C13),0)),0)</f>
        <v>0</v>
      </c>
      <c r="T13" s="82"/>
      <c r="U13" s="82"/>
    </row>
    <row r="14" spans="2:21" ht="16.5" hidden="1" thickTop="1" thickBot="1" x14ac:dyDescent="0.3">
      <c r="B14" s="107">
        <f>Inicio!C97</f>
        <v>0</v>
      </c>
      <c r="C14" s="107">
        <f>IF(Inicio!$F$13="Años",Inicio!D97,Inicio!D97*12)</f>
        <v>0</v>
      </c>
      <c r="D14" s="107">
        <f>Inicio!E97</f>
        <v>0</v>
      </c>
      <c r="E14" s="107">
        <f>IF(E$5&lt;=$C14,(IF(E$5&lt;=Inicio!$D$13,SLN($D14,0,$C14),0)),0)</f>
        <v>0</v>
      </c>
      <c r="F14" s="107">
        <f>IF(F$5&lt;=$C14,(IF(F$5&lt;=Inicio!$D$13,SLN($D14,0,$C14),0)),0)</f>
        <v>0</v>
      </c>
      <c r="G14" s="107">
        <f>IF(G$5&lt;=$C14,(IF(G$5&lt;=Inicio!$D$13,SLN($D14,0,$C14),0)),0)</f>
        <v>0</v>
      </c>
      <c r="H14" s="107">
        <f>IF(H$5&lt;=$C14,(IF(H$5&lt;=Inicio!$D$13,SLN($D14,0,$C14),0)),0)</f>
        <v>0</v>
      </c>
      <c r="I14" s="107">
        <f>IF(I$5&lt;=$C14,(IF(I$5&lt;=Inicio!$D$13,SLN($D14,0,$C14),0)),0)</f>
        <v>0</v>
      </c>
      <c r="J14" s="113">
        <f>IF(J$5&lt;=$C14,(IF(J$5&lt;=Inicio!$D$13,SLN($D14,0,$C14),0)),0)</f>
        <v>0</v>
      </c>
      <c r="K14" s="113">
        <f>IF(K$5&lt;=$C14,(IF(K$5&lt;=Inicio!$D$13,SLN($D14,0,$C14),0)),0)</f>
        <v>0</v>
      </c>
      <c r="L14" s="113">
        <f>IF(L$5&lt;=$C14,(IF(L$5&lt;=Inicio!$D$13,SLN($D14,0,$C14),0)),0)</f>
        <v>0</v>
      </c>
      <c r="M14" s="113">
        <f>IF(M$5&lt;=$C14,(IF(M$5&lt;=Inicio!$D$13,SLN($D14,0,$C14),0)),0)</f>
        <v>0</v>
      </c>
      <c r="N14" s="113">
        <f>IF(N$5&lt;=$C14,(IF(N$5&lt;=Inicio!$D$13,SLN($D14,0,$C14),0)),0)</f>
        <v>0</v>
      </c>
      <c r="O14" s="113">
        <f>IF(O$5&lt;=$C14,(IF(O$5&lt;=Inicio!$D$13,SLN($D14,0,$C14),0)),0)</f>
        <v>0</v>
      </c>
      <c r="P14" s="113">
        <f>IF(P$5&lt;=$C14,(IF(P$5&lt;=Inicio!$D$13,SLN($D14,0,$C14),0)),0)</f>
        <v>0</v>
      </c>
      <c r="Q14" s="113">
        <f>IF(Q$5&lt;=$C14,(IF(Q$5&lt;=Inicio!$D$13,SLN($D14,0,$C14),0)),0)</f>
        <v>0</v>
      </c>
      <c r="R14" s="113">
        <f>IF(R$5&lt;=$C14,(IF(R$5&lt;=Inicio!$D$13,SLN($D14,0,$C14),0)),0)</f>
        <v>0</v>
      </c>
      <c r="S14" s="113">
        <f>IF(S$5&lt;=$C14,(IF(S$5&lt;=Inicio!$D$13,SLN($D14,0,$C14),0)),0)</f>
        <v>0</v>
      </c>
      <c r="T14" s="82"/>
      <c r="U14" s="82"/>
    </row>
    <row r="15" spans="2:21" ht="16.5" hidden="1" thickTop="1" thickBot="1" x14ac:dyDescent="0.3">
      <c r="B15" s="107">
        <f>Inicio!C98</f>
        <v>0</v>
      </c>
      <c r="C15" s="107">
        <f>IF(Inicio!$F$13="Años",Inicio!D98,Inicio!D98*12)</f>
        <v>0</v>
      </c>
      <c r="D15" s="107">
        <f>Inicio!E98</f>
        <v>0</v>
      </c>
      <c r="E15" s="107">
        <f>IF(E$5&lt;=$C15,(IF(E$5&lt;=Inicio!$D$13,SLN($D15,0,$C15),0)),0)</f>
        <v>0</v>
      </c>
      <c r="F15" s="107">
        <f>IF(F$5&lt;=$C15,(IF(F$5&lt;=Inicio!$D$13,SLN($D15,0,$C15),0)),0)</f>
        <v>0</v>
      </c>
      <c r="G15" s="107">
        <f>IF(G$5&lt;=$C15,(IF(G$5&lt;=Inicio!$D$13,SLN($D15,0,$C15),0)),0)</f>
        <v>0</v>
      </c>
      <c r="H15" s="107">
        <f>IF(H$5&lt;=$C15,(IF(H$5&lt;=Inicio!$D$13,SLN($D15,0,$C15),0)),0)</f>
        <v>0</v>
      </c>
      <c r="I15" s="107">
        <f>IF(I$5&lt;=$C15,(IF(I$5&lt;=Inicio!$D$13,SLN($D15,0,$C15),0)),0)</f>
        <v>0</v>
      </c>
      <c r="J15" s="113">
        <f>IF(J$5&lt;=$C15,(IF(J$5&lt;=Inicio!$D$13,SLN($D15,0,$C15),0)),0)</f>
        <v>0</v>
      </c>
      <c r="K15" s="113">
        <f>IF(K$5&lt;=$C15,(IF(K$5&lt;=Inicio!$D$13,SLN($D15,0,$C15),0)),0)</f>
        <v>0</v>
      </c>
      <c r="L15" s="113">
        <f>IF(L$5&lt;=$C15,(IF(L$5&lt;=Inicio!$D$13,SLN($D15,0,$C15),0)),0)</f>
        <v>0</v>
      </c>
      <c r="M15" s="113">
        <f>IF(M$5&lt;=$C15,(IF(M$5&lt;=Inicio!$D$13,SLN($D15,0,$C15),0)),0)</f>
        <v>0</v>
      </c>
      <c r="N15" s="113">
        <f>IF(N$5&lt;=$C15,(IF(N$5&lt;=Inicio!$D$13,SLN($D15,0,$C15),0)),0)</f>
        <v>0</v>
      </c>
      <c r="O15" s="113">
        <f>IF(O$5&lt;=$C15,(IF(O$5&lt;=Inicio!$D$13,SLN($D15,0,$C15),0)),0)</f>
        <v>0</v>
      </c>
      <c r="P15" s="113">
        <f>IF(P$5&lt;=$C15,(IF(P$5&lt;=Inicio!$D$13,SLN($D15,0,$C15),0)),0)</f>
        <v>0</v>
      </c>
      <c r="Q15" s="113">
        <f>IF(Q$5&lt;=$C15,(IF(Q$5&lt;=Inicio!$D$13,SLN($D15,0,$C15),0)),0)</f>
        <v>0</v>
      </c>
      <c r="R15" s="113">
        <f>IF(R$5&lt;=$C15,(IF(R$5&lt;=Inicio!$D$13,SLN($D15,0,$C15),0)),0)</f>
        <v>0</v>
      </c>
      <c r="S15" s="113">
        <f>IF(S$5&lt;=$C15,(IF(S$5&lt;=Inicio!$D$13,SLN($D15,0,$C15),0)),0)</f>
        <v>0</v>
      </c>
      <c r="T15" s="82"/>
      <c r="U15" s="82"/>
    </row>
    <row r="16" spans="2:21" ht="16.5" hidden="1" thickTop="1" thickBot="1" x14ac:dyDescent="0.3">
      <c r="B16" s="107">
        <f>Inicio!C95</f>
        <v>0</v>
      </c>
      <c r="C16" s="107">
        <f>IF(Inicio!$F$13="Años",Inicio!D95,Inicio!D95*12)</f>
        <v>0</v>
      </c>
      <c r="D16" s="107">
        <f>Inicio!E95</f>
        <v>0</v>
      </c>
      <c r="E16" s="107">
        <f>IF(E$5&lt;=$C16,(IF(E$5&lt;=Inicio!$D$13,SLN($D16,0,$C16),0)),0)</f>
        <v>0</v>
      </c>
      <c r="F16" s="107">
        <f>IF(F$5&lt;=$C16,(IF(F$5&lt;=Inicio!$D$13,SLN($D16,0,$C16),0)),0)</f>
        <v>0</v>
      </c>
      <c r="G16" s="107">
        <f>IF(G$5&lt;=$C16,(IF(G$5&lt;=Inicio!$D$13,SLN($D16,0,$C16),0)),0)</f>
        <v>0</v>
      </c>
      <c r="H16" s="107">
        <f>IF(H$5&lt;=$C16,(IF(H$5&lt;=Inicio!$D$13,SLN($D16,0,$C16),0)),0)</f>
        <v>0</v>
      </c>
      <c r="I16" s="107">
        <f>IF(I$5&lt;=$C16,(IF(I$5&lt;=Inicio!$D$13,SLN($D16,0,$C16),0)),0)</f>
        <v>0</v>
      </c>
      <c r="J16" s="113">
        <f>IF(J$5&lt;=$C16,(IF(J$5&lt;=Inicio!$D$13,SLN($D16,0,$C16),0)),0)</f>
        <v>0</v>
      </c>
      <c r="K16" s="113">
        <f>IF(K$5&lt;=$C16,(IF(K$5&lt;=Inicio!$D$13,SLN($D16,0,$C16),0)),0)</f>
        <v>0</v>
      </c>
      <c r="L16" s="113">
        <f>IF(L$5&lt;=$C16,(IF(L$5&lt;=Inicio!$D$13,SLN($D16,0,$C16),0)),0)</f>
        <v>0</v>
      </c>
      <c r="M16" s="113">
        <f>IF(M$5&lt;=$C16,(IF(M$5&lt;=Inicio!$D$13,SLN($D16,0,$C16),0)),0)</f>
        <v>0</v>
      </c>
      <c r="N16" s="113">
        <f>IF(N$5&lt;=$C16,(IF(N$5&lt;=Inicio!$D$13,SLN($D16,0,$C16),0)),0)</f>
        <v>0</v>
      </c>
      <c r="O16" s="113">
        <f>IF(O$5&lt;=$C16,(IF(O$5&lt;=Inicio!$D$13,SLN($D16,0,$C16),0)),0)</f>
        <v>0</v>
      </c>
      <c r="P16" s="113">
        <f>IF(P$5&lt;=$C16,(IF(P$5&lt;=Inicio!$D$13,SLN($D16,0,$C16),0)),0)</f>
        <v>0</v>
      </c>
      <c r="Q16" s="113">
        <f>IF(Q$5&lt;=$C16,(IF(Q$5&lt;=Inicio!$D$13,SLN($D16,0,$C16),0)),0)</f>
        <v>0</v>
      </c>
      <c r="R16" s="113">
        <f>IF(R$5&lt;=$C16,(IF(R$5&lt;=Inicio!$D$13,SLN($D16,0,$C16),0)),0)</f>
        <v>0</v>
      </c>
      <c r="S16" s="113">
        <f>IF(S$5&lt;=$C16,(IF(S$5&lt;=Inicio!$D$13,SLN($D16,0,$C16),0)),0)</f>
        <v>0</v>
      </c>
      <c r="T16" s="82"/>
      <c r="U16" s="82"/>
    </row>
    <row r="17" spans="2:21" ht="16.5" hidden="1" thickTop="1" thickBot="1" x14ac:dyDescent="0.3">
      <c r="B17" s="107">
        <f>Inicio!C96</f>
        <v>0</v>
      </c>
      <c r="C17" s="107">
        <f>IF(Inicio!$F$13="Años",Inicio!D96,Inicio!D96*12)</f>
        <v>0</v>
      </c>
      <c r="D17" s="107">
        <f>Inicio!E96</f>
        <v>0</v>
      </c>
      <c r="E17" s="107">
        <f>IF(E$5&lt;=$C17,(IF(E$5&lt;=Inicio!$D$13,SLN($D17,0,$C17),0)),0)</f>
        <v>0</v>
      </c>
      <c r="F17" s="107">
        <f>IF(F$5&lt;=$C17,(IF(F$5&lt;=Inicio!$D$13,SLN($D17,0,$C17),0)),0)</f>
        <v>0</v>
      </c>
      <c r="G17" s="107">
        <f>IF(G$5&lt;=$C17,(IF(G$5&lt;=Inicio!$D$13,SLN($D17,0,$C17),0)),0)</f>
        <v>0</v>
      </c>
      <c r="H17" s="107">
        <f>IF(H$5&lt;=$C17,(IF(H$5&lt;=Inicio!$D$13,SLN($D17,0,$C17),0)),0)</f>
        <v>0</v>
      </c>
      <c r="I17" s="107">
        <f>IF(I$5&lt;=$C17,(IF(I$5&lt;=Inicio!$D$13,SLN($D17,0,$C17),0)),0)</f>
        <v>0</v>
      </c>
      <c r="J17" s="113">
        <f>IF(J$5&lt;=$C17,(IF(J$5&lt;=Inicio!$D$13,SLN($D17,0,$C17),0)),0)</f>
        <v>0</v>
      </c>
      <c r="K17" s="113">
        <f>IF(K$5&lt;=$C17,(IF(K$5&lt;=Inicio!$D$13,SLN($D17,0,$C17),0)),0)</f>
        <v>0</v>
      </c>
      <c r="L17" s="113">
        <f>IF(L$5&lt;=$C17,(IF(L$5&lt;=Inicio!$D$13,SLN($D17,0,$C17),0)),0)</f>
        <v>0</v>
      </c>
      <c r="M17" s="113">
        <f>IF(M$5&lt;=$C17,(IF(M$5&lt;=Inicio!$D$13,SLN($D17,0,$C17),0)),0)</f>
        <v>0</v>
      </c>
      <c r="N17" s="113">
        <f>IF(N$5&lt;=$C17,(IF(N$5&lt;=Inicio!$D$13,SLN($D17,0,$C17),0)),0)</f>
        <v>0</v>
      </c>
      <c r="O17" s="113">
        <f>IF(O$5&lt;=$C17,(IF(O$5&lt;=Inicio!$D$13,SLN($D17,0,$C17),0)),0)</f>
        <v>0</v>
      </c>
      <c r="P17" s="113">
        <f>IF(P$5&lt;=$C17,(IF(P$5&lt;=Inicio!$D$13,SLN($D17,0,$C17),0)),0)</f>
        <v>0</v>
      </c>
      <c r="Q17" s="113">
        <f>IF(Q$5&lt;=$C17,(IF(Q$5&lt;=Inicio!$D$13,SLN($D17,0,$C17),0)),0)</f>
        <v>0</v>
      </c>
      <c r="R17" s="113">
        <f>IF(R$5&lt;=$C17,(IF(R$5&lt;=Inicio!$D$13,SLN($D17,0,$C17),0)),0)</f>
        <v>0</v>
      </c>
      <c r="S17" s="113">
        <f>IF(S$5&lt;=$C17,(IF(S$5&lt;=Inicio!$D$13,SLN($D17,0,$C17),0)),0)</f>
        <v>0</v>
      </c>
      <c r="T17" s="82"/>
      <c r="U17" s="82"/>
    </row>
    <row r="18" spans="2:21" ht="16.5" hidden="1" thickTop="1" thickBot="1" x14ac:dyDescent="0.3">
      <c r="B18" s="107">
        <f>Inicio!C97</f>
        <v>0</v>
      </c>
      <c r="C18" s="107">
        <f>IF(Inicio!$F$13="Años",Inicio!D97,Inicio!D97*12)</f>
        <v>0</v>
      </c>
      <c r="D18" s="107">
        <f>Inicio!E97</f>
        <v>0</v>
      </c>
      <c r="E18" s="107">
        <f>IF(E$5&lt;=$C18,(IF(E$5&lt;=Inicio!$D$13,SLN($D18,0,$C18),0)),0)</f>
        <v>0</v>
      </c>
      <c r="F18" s="107">
        <f>IF(F$5&lt;=$C18,(IF(F$5&lt;=Inicio!$D$13,SLN($D18,0,$C18),0)),0)</f>
        <v>0</v>
      </c>
      <c r="G18" s="107">
        <f>IF(G$5&lt;=$C18,(IF(G$5&lt;=Inicio!$D$13,SLN($D18,0,$C18),0)),0)</f>
        <v>0</v>
      </c>
      <c r="H18" s="107">
        <f>IF(H$5&lt;=$C18,(IF(H$5&lt;=Inicio!$D$13,SLN($D18,0,$C18),0)),0)</f>
        <v>0</v>
      </c>
      <c r="I18" s="107">
        <f>IF(I$5&lt;=$C18,(IF(I$5&lt;=Inicio!$D$13,SLN($D18,0,$C18),0)),0)</f>
        <v>0</v>
      </c>
      <c r="J18" s="113">
        <f>IF(J$5&lt;=$C18,(IF(J$5&lt;=Inicio!$D$13,SLN($D18,0,$C18),0)),0)</f>
        <v>0</v>
      </c>
      <c r="K18" s="113">
        <f>IF(K$5&lt;=$C18,(IF(K$5&lt;=Inicio!$D$13,SLN($D18,0,$C18),0)),0)</f>
        <v>0</v>
      </c>
      <c r="L18" s="113">
        <f>IF(L$5&lt;=$C18,(IF(L$5&lt;=Inicio!$D$13,SLN($D18,0,$C18),0)),0)</f>
        <v>0</v>
      </c>
      <c r="M18" s="113">
        <f>IF(M$5&lt;=$C18,(IF(M$5&lt;=Inicio!$D$13,SLN($D18,0,$C18),0)),0)</f>
        <v>0</v>
      </c>
      <c r="N18" s="113">
        <f>IF(N$5&lt;=$C18,(IF(N$5&lt;=Inicio!$D$13,SLN($D18,0,$C18),0)),0)</f>
        <v>0</v>
      </c>
      <c r="O18" s="113">
        <f>IF(O$5&lt;=$C18,(IF(O$5&lt;=Inicio!$D$13,SLN($D18,0,$C18),0)),0)</f>
        <v>0</v>
      </c>
      <c r="P18" s="113">
        <f>IF(P$5&lt;=$C18,(IF(P$5&lt;=Inicio!$D$13,SLN($D18,0,$C18),0)),0)</f>
        <v>0</v>
      </c>
      <c r="Q18" s="113">
        <f>IF(Q$5&lt;=$C18,(IF(Q$5&lt;=Inicio!$D$13,SLN($D18,0,$C18),0)),0)</f>
        <v>0</v>
      </c>
      <c r="R18" s="113">
        <f>IF(R$5&lt;=$C18,(IF(R$5&lt;=Inicio!$D$13,SLN($D18,0,$C18),0)),0)</f>
        <v>0</v>
      </c>
      <c r="S18" s="113">
        <f>IF(S$5&lt;=$C18,(IF(S$5&lt;=Inicio!$D$13,SLN($D18,0,$C18),0)),0)</f>
        <v>0</v>
      </c>
      <c r="T18" s="82"/>
      <c r="U18" s="82"/>
    </row>
    <row r="19" spans="2:21" ht="16.5" hidden="1" thickTop="1" thickBot="1" x14ac:dyDescent="0.3">
      <c r="B19" s="107">
        <f>Inicio!C98</f>
        <v>0</v>
      </c>
      <c r="C19" s="107">
        <f>IF(Inicio!$F$13="Años",Inicio!D98,Inicio!D98*12)</f>
        <v>0</v>
      </c>
      <c r="D19" s="107">
        <f>Inicio!E98</f>
        <v>0</v>
      </c>
      <c r="E19" s="107">
        <f>IF(E$5&lt;=$C19,(IF(E$5&lt;=Inicio!$D$13,SLN($D19,0,$C19),0)),0)</f>
        <v>0</v>
      </c>
      <c r="F19" s="107">
        <f>IF(F$5&lt;=$C19,(IF(F$5&lt;=Inicio!$D$13,SLN($D19,0,$C19),0)),0)</f>
        <v>0</v>
      </c>
      <c r="G19" s="107">
        <f>IF(G$5&lt;=$C19,(IF(G$5&lt;=Inicio!$D$13,SLN($D19,0,$C19),0)),0)</f>
        <v>0</v>
      </c>
      <c r="H19" s="107">
        <f>IF(H$5&lt;=$C19,(IF(H$5&lt;=Inicio!$D$13,SLN($D19,0,$C19),0)),0)</f>
        <v>0</v>
      </c>
      <c r="I19" s="107">
        <f>IF(I$5&lt;=$C19,(IF(I$5&lt;=Inicio!$D$13,SLN($D19,0,$C19),0)),0)</f>
        <v>0</v>
      </c>
      <c r="J19" s="113">
        <f>IF(J$5&lt;=$C19,(IF(J$5&lt;=Inicio!$D$13,SLN($D19,0,$C19),0)),0)</f>
        <v>0</v>
      </c>
      <c r="K19" s="113">
        <f>IF(K$5&lt;=$C19,(IF(K$5&lt;=Inicio!$D$13,SLN($D19,0,$C19),0)),0)</f>
        <v>0</v>
      </c>
      <c r="L19" s="113">
        <f>IF(L$5&lt;=$C19,(IF(L$5&lt;=Inicio!$D$13,SLN($D19,0,$C19),0)),0)</f>
        <v>0</v>
      </c>
      <c r="M19" s="113">
        <f>IF(M$5&lt;=$C19,(IF(M$5&lt;=Inicio!$D$13,SLN($D19,0,$C19),0)),0)</f>
        <v>0</v>
      </c>
      <c r="N19" s="113">
        <f>IF(N$5&lt;=$C19,(IF(N$5&lt;=Inicio!$D$13,SLN($D19,0,$C19),0)),0)</f>
        <v>0</v>
      </c>
      <c r="O19" s="113">
        <f>IF(O$5&lt;=$C19,(IF(O$5&lt;=Inicio!$D$13,SLN($D19,0,$C19),0)),0)</f>
        <v>0</v>
      </c>
      <c r="P19" s="113">
        <f>IF(P$5&lt;=$C19,(IF(P$5&lt;=Inicio!$D$13,SLN($D19,0,$C19),0)),0)</f>
        <v>0</v>
      </c>
      <c r="Q19" s="113">
        <f>IF(Q$5&lt;=$C19,(IF(Q$5&lt;=Inicio!$D$13,SLN($D19,0,$C19),0)),0)</f>
        <v>0</v>
      </c>
      <c r="R19" s="113">
        <f>IF(R$5&lt;=$C19,(IF(R$5&lt;=Inicio!$D$13,SLN($D19,0,$C19),0)),0)</f>
        <v>0</v>
      </c>
      <c r="S19" s="113">
        <f>IF(S$5&lt;=$C19,(IF(S$5&lt;=Inicio!$D$13,SLN($D19,0,$C19),0)),0)</f>
        <v>0</v>
      </c>
      <c r="T19" s="82"/>
      <c r="U19" s="82"/>
    </row>
    <row r="20" spans="2:21" ht="16.5" hidden="1" thickTop="1" thickBot="1" x14ac:dyDescent="0.3">
      <c r="B20" s="107">
        <f>Inicio!C99</f>
        <v>0</v>
      </c>
      <c r="C20" s="107">
        <f>IF(Inicio!$F$13="Años",Inicio!D99,Inicio!D99*12)</f>
        <v>0</v>
      </c>
      <c r="D20" s="107">
        <f>Inicio!E99</f>
        <v>0</v>
      </c>
      <c r="E20" s="107">
        <f>IF(E$5&lt;=$C20,(IF(E$5&lt;=Inicio!$D$13,SLN($D20,0,$C20),0)),0)</f>
        <v>0</v>
      </c>
      <c r="F20" s="107">
        <f>IF(F$5&lt;=$C20,(IF(F$5&lt;=Inicio!$D$13,SLN($D20,0,$C20),0)),0)</f>
        <v>0</v>
      </c>
      <c r="G20" s="107">
        <f>IF(G$5&lt;=$C20,(IF(G$5&lt;=Inicio!$D$13,SLN($D20,0,$C20),0)),0)</f>
        <v>0</v>
      </c>
      <c r="H20" s="107">
        <f>IF(H$5&lt;=$C20,(IF(H$5&lt;=Inicio!$D$13,SLN($D20,0,$C20),0)),0)</f>
        <v>0</v>
      </c>
      <c r="I20" s="107">
        <f>IF(I$5&lt;=$C20,(IF(I$5&lt;=Inicio!$D$13,SLN($D20,0,$C20),0)),0)</f>
        <v>0</v>
      </c>
      <c r="J20" s="113">
        <f>IF(J$5&lt;=$C20,(IF(J$5&lt;=Inicio!$D$13,SLN($D20,0,$C20),0)),0)</f>
        <v>0</v>
      </c>
      <c r="K20" s="113">
        <f>IF(K$5&lt;=$C20,(IF(K$5&lt;=Inicio!$D$13,SLN($D20,0,$C20),0)),0)</f>
        <v>0</v>
      </c>
      <c r="L20" s="113">
        <f>IF(L$5&lt;=$C20,(IF(L$5&lt;=Inicio!$D$13,SLN($D20,0,$C20),0)),0)</f>
        <v>0</v>
      </c>
      <c r="M20" s="113">
        <f>IF(M$5&lt;=$C20,(IF(M$5&lt;=Inicio!$D$13,SLN($D20,0,$C20),0)),0)</f>
        <v>0</v>
      </c>
      <c r="N20" s="113">
        <f>IF(N$5&lt;=$C20,(IF(N$5&lt;=Inicio!$D$13,SLN($D20,0,$C20),0)),0)</f>
        <v>0</v>
      </c>
      <c r="O20" s="113">
        <f>IF(O$5&lt;=$C20,(IF(O$5&lt;=Inicio!$D$13,SLN($D20,0,$C20),0)),0)</f>
        <v>0</v>
      </c>
      <c r="P20" s="113">
        <f>IF(P$5&lt;=$C20,(IF(P$5&lt;=Inicio!$D$13,SLN($D20,0,$C20),0)),0)</f>
        <v>0</v>
      </c>
      <c r="Q20" s="113">
        <f>IF(Q$5&lt;=$C20,(IF(Q$5&lt;=Inicio!$D$13,SLN($D20,0,$C20),0)),0)</f>
        <v>0</v>
      </c>
      <c r="R20" s="113">
        <f>IF(R$5&lt;=$C20,(IF(R$5&lt;=Inicio!$D$13,SLN($D20,0,$C20),0)),0)</f>
        <v>0</v>
      </c>
      <c r="S20" s="113">
        <f>IF(S$5&lt;=$C20,(IF(S$5&lt;=Inicio!$D$13,SLN($D20,0,$C20),0)),0)</f>
        <v>0</v>
      </c>
      <c r="T20" s="82"/>
      <c r="U20" s="82"/>
    </row>
    <row r="21" spans="2:21" ht="16.5" hidden="1" thickTop="1" thickBot="1" x14ac:dyDescent="0.3">
      <c r="B21" s="107">
        <f>Inicio!C100</f>
        <v>0</v>
      </c>
      <c r="C21" s="107">
        <f>IF(Inicio!$F$13="Años",Inicio!D100,Inicio!D100*12)</f>
        <v>0</v>
      </c>
      <c r="D21" s="107">
        <f>Inicio!E100</f>
        <v>0</v>
      </c>
      <c r="E21" s="107">
        <f>IF(E$5&lt;=$C21,(IF(E$5&lt;=Inicio!$D$13,SLN($D21,0,$C21),0)),0)</f>
        <v>0</v>
      </c>
      <c r="F21" s="107">
        <f>IF(F$5&lt;=$C21,(IF(F$5&lt;=Inicio!$D$13,SLN($D21,0,$C21),0)),0)</f>
        <v>0</v>
      </c>
      <c r="G21" s="107">
        <f>IF(G$5&lt;=$C21,(IF(G$5&lt;=Inicio!$D$13,SLN($D21,0,$C21),0)),0)</f>
        <v>0</v>
      </c>
      <c r="H21" s="107">
        <f>IF(H$5&lt;=$C21,(IF(H$5&lt;=Inicio!$D$13,SLN($D21,0,$C21),0)),0)</f>
        <v>0</v>
      </c>
      <c r="I21" s="107">
        <f>IF(I$5&lt;=$C21,(IF(I$5&lt;=Inicio!$D$13,SLN($D21,0,$C21),0)),0)</f>
        <v>0</v>
      </c>
      <c r="J21" s="113">
        <f>IF(J$5&lt;=$C21,(IF(J$5&lt;=Inicio!$D$13,SLN($D21,0,$C21),0)),0)</f>
        <v>0</v>
      </c>
      <c r="K21" s="113">
        <f>IF(K$5&lt;=$C21,(IF(K$5&lt;=Inicio!$D$13,SLN($D21,0,$C21),0)),0)</f>
        <v>0</v>
      </c>
      <c r="L21" s="113">
        <f>IF(L$5&lt;=$C21,(IF(L$5&lt;=Inicio!$D$13,SLN($D21,0,$C21),0)),0)</f>
        <v>0</v>
      </c>
      <c r="M21" s="113">
        <f>IF(M$5&lt;=$C21,(IF(M$5&lt;=Inicio!$D$13,SLN($D21,0,$C21),0)),0)</f>
        <v>0</v>
      </c>
      <c r="N21" s="113">
        <f>IF(N$5&lt;=$C21,(IF(N$5&lt;=Inicio!$D$13,SLN($D21,0,$C21),0)),0)</f>
        <v>0</v>
      </c>
      <c r="O21" s="113">
        <f>IF(O$5&lt;=$C21,(IF(O$5&lt;=Inicio!$D$13,SLN($D21,0,$C21),0)),0)</f>
        <v>0</v>
      </c>
      <c r="P21" s="113">
        <f>IF(P$5&lt;=$C21,(IF(P$5&lt;=Inicio!$D$13,SLN($D21,0,$C21),0)),0)</f>
        <v>0</v>
      </c>
      <c r="Q21" s="113">
        <f>IF(Q$5&lt;=$C21,(IF(Q$5&lt;=Inicio!$D$13,SLN($D21,0,$C21),0)),0)</f>
        <v>0</v>
      </c>
      <c r="R21" s="113">
        <f>IF(R$5&lt;=$C21,(IF(R$5&lt;=Inicio!$D$13,SLN($D21,0,$C21),0)),0)</f>
        <v>0</v>
      </c>
      <c r="S21" s="113">
        <f>IF(S$5&lt;=$C21,(IF(S$5&lt;=Inicio!$D$13,SLN($D21,0,$C21),0)),0)</f>
        <v>0</v>
      </c>
      <c r="T21" s="82"/>
      <c r="U21" s="82"/>
    </row>
    <row r="22" spans="2:21" ht="16.5" thickTop="1" thickBot="1" x14ac:dyDescent="0.3">
      <c r="B22" s="148" t="s">
        <v>62</v>
      </c>
      <c r="C22" s="130"/>
      <c r="D22" s="130">
        <f>SUM(D7:D21)</f>
        <v>400000000</v>
      </c>
      <c r="E22" s="130">
        <f>SUM(E7:E21)</f>
        <v>55000000</v>
      </c>
      <c r="F22" s="130">
        <f t="shared" ref="F22:S22" si="0">SUM(F7:F21)</f>
        <v>55000000</v>
      </c>
      <c r="G22" s="130">
        <f t="shared" si="0"/>
        <v>55000000</v>
      </c>
      <c r="H22" s="130">
        <f t="shared" si="0"/>
        <v>0</v>
      </c>
      <c r="I22" s="130">
        <f t="shared" si="0"/>
        <v>0</v>
      </c>
      <c r="J22" s="130">
        <f t="shared" si="0"/>
        <v>0</v>
      </c>
      <c r="K22" s="130">
        <f t="shared" si="0"/>
        <v>0</v>
      </c>
      <c r="L22" s="130">
        <f t="shared" si="0"/>
        <v>0</v>
      </c>
      <c r="M22" s="130">
        <f t="shared" si="0"/>
        <v>0</v>
      </c>
      <c r="N22" s="130">
        <f t="shared" si="0"/>
        <v>0</v>
      </c>
      <c r="O22" s="130">
        <f t="shared" si="0"/>
        <v>0</v>
      </c>
      <c r="P22" s="130">
        <f t="shared" si="0"/>
        <v>0</v>
      </c>
      <c r="Q22" s="130">
        <f t="shared" si="0"/>
        <v>0</v>
      </c>
      <c r="R22" s="130">
        <f t="shared" si="0"/>
        <v>0</v>
      </c>
      <c r="S22" s="130">
        <f t="shared" si="0"/>
        <v>0</v>
      </c>
      <c r="T22" s="131"/>
      <c r="U22" s="131"/>
    </row>
    <row r="23" spans="2:21" ht="16.5" thickTop="1" thickBot="1" x14ac:dyDescent="0.3">
      <c r="B23" s="289" t="s">
        <v>70</v>
      </c>
      <c r="C23" s="290"/>
      <c r="D23" s="290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50"/>
    </row>
    <row r="24" spans="2:21" ht="16.5" thickTop="1" thickBot="1" x14ac:dyDescent="0.3">
      <c r="B24" s="107" t="str">
        <f>Inicio!C104</f>
        <v>Estudios de Prefactibilidad</v>
      </c>
      <c r="C24" s="107">
        <f>IF(Inicio!$F$13="Años",Inicio!D104,Inicio!D104*12)</f>
        <v>3</v>
      </c>
      <c r="D24" s="107">
        <f>Inicio!E104</f>
        <v>3000000</v>
      </c>
      <c r="E24" s="107">
        <f>IF(E$5&lt;=$C24,(IF(E$5&lt;=Inicio!$D$13,+$D24/$C24,0)),0)</f>
        <v>1000000</v>
      </c>
      <c r="F24" s="107">
        <f>IF(F$5&lt;=$C24,(IF(F$5&lt;=Inicio!$D$13,+$D24/$C24,0)),0)</f>
        <v>1000000</v>
      </c>
      <c r="G24" s="107">
        <f>IF(G$5&lt;=$C24,(IF(G$5&lt;=Inicio!$D$13,+$D24/$C24,0)),0)</f>
        <v>1000000</v>
      </c>
      <c r="H24" s="107">
        <f>IF(H$5&lt;=$C24,(IF(H$5&lt;=Inicio!$D$13,+$D24/$C24,0)),0)</f>
        <v>0</v>
      </c>
      <c r="I24" s="107">
        <f>IF(I$5&lt;=$C24,(IF(I$5&lt;=Inicio!$D$13,+$D24/$C24,0)),0)</f>
        <v>0</v>
      </c>
      <c r="J24" s="110">
        <f>IF(J$5&lt;=$C24,(IF(J$5&lt;=Inicio!$D$13,+$D24/$C24,0)),0)</f>
        <v>0</v>
      </c>
      <c r="K24" s="110">
        <f>IF(K$5&lt;=$C24,(IF(K$5&lt;=Inicio!$D$13,+$D24/$C24,0)),0)</f>
        <v>0</v>
      </c>
      <c r="L24" s="110">
        <f>IF(L$5&lt;=$C24,(IF(L$5&lt;=Inicio!$D$13,+$D24/$C24,0)),0)</f>
        <v>0</v>
      </c>
      <c r="M24" s="110">
        <f>IF(M$5&lt;=$C24,(IF(M$5&lt;=Inicio!$D$13,+$D24/$C24,0)),0)</f>
        <v>0</v>
      </c>
      <c r="N24" s="110">
        <f>IF(N$5&lt;=$C24,(IF(N$5&lt;=Inicio!$D$13,+$D24/$C24,0)),0)</f>
        <v>0</v>
      </c>
      <c r="O24" s="110">
        <f>IF(O$5&lt;=$C24,(IF(O$5&lt;=Inicio!$D$13,+$D24/$C24,0)),0)</f>
        <v>0</v>
      </c>
      <c r="P24" s="110">
        <f>IF(P$5&lt;=$C24,(IF(P$5&lt;=Inicio!$D$13,+$D24/$C24,0)),0)</f>
        <v>0</v>
      </c>
      <c r="Q24" s="110">
        <f>IF(Q$5&lt;=$C24,(IF(Q$5&lt;=Inicio!$D$13,+$D24/$C24,0)),0)</f>
        <v>0</v>
      </c>
      <c r="R24" s="110">
        <f>IF(R$5&lt;=$C24,(IF(R$5&lt;=Inicio!$D$13,+$D24/$C24,0)),0)</f>
        <v>0</v>
      </c>
      <c r="S24" s="110">
        <f>IF(S$5&lt;=$C24,(IF(S$5&lt;=Inicio!$D$13,+$D24/$C24,0)),0)</f>
        <v>0</v>
      </c>
    </row>
    <row r="25" spans="2:21" ht="16.5" thickTop="1" thickBot="1" x14ac:dyDescent="0.3">
      <c r="B25" s="107" t="str">
        <f>Inicio!C105</f>
        <v>Gastos de Constitucion de la Sociedad</v>
      </c>
      <c r="C25" s="107">
        <f>IF(Inicio!$F$13="Años",Inicio!D105,Inicio!D105*12)</f>
        <v>3</v>
      </c>
      <c r="D25" s="107">
        <f>Inicio!E105</f>
        <v>10000000</v>
      </c>
      <c r="E25" s="107">
        <f>IF(E$5&lt;=$C25,(IF(E$5&lt;=Inicio!$D$13,+$D25/$C25,0)),0)</f>
        <v>3333333.3333333335</v>
      </c>
      <c r="F25" s="107">
        <f>IF(F$5&lt;=$C25,(IF(F$5&lt;=Inicio!$D$13,+$D25/$C25,0)),0)</f>
        <v>3333333.3333333335</v>
      </c>
      <c r="G25" s="107">
        <f>IF(G$5&lt;=$C25,(IF(G$5&lt;=Inicio!$D$13,+$D25/$C25,0)),0)</f>
        <v>3333333.3333333335</v>
      </c>
      <c r="H25" s="107">
        <f>IF(H$5&lt;=$C25,(IF(H$5&lt;=Inicio!$D$13,+$D25/$C25,0)),0)</f>
        <v>0</v>
      </c>
      <c r="I25" s="107">
        <f>IF(I$5&lt;=$C25,(IF(I$5&lt;=Inicio!$D$13,+$D25/$C25,0)),0)</f>
        <v>0</v>
      </c>
      <c r="J25" s="110">
        <f>IF(J$5&lt;=$C25,(IF(J$5&lt;=Inicio!$D$13,+$D25/$C25,0)),0)</f>
        <v>0</v>
      </c>
      <c r="K25" s="110">
        <f>IF(K$5&lt;=$C25,(IF(K$5&lt;=Inicio!$D$13,+$D25/$C25,0)),0)</f>
        <v>0</v>
      </c>
      <c r="L25" s="110">
        <f>IF(L$5&lt;=$C25,(IF(L$5&lt;=Inicio!$D$13,+$D25/$C25,0)),0)</f>
        <v>0</v>
      </c>
      <c r="M25" s="110">
        <f>IF(M$5&lt;=$C25,(IF(M$5&lt;=Inicio!$D$13,+$D25/$C25,0)),0)</f>
        <v>0</v>
      </c>
      <c r="N25" s="110">
        <f>IF(N$5&lt;=$C25,(IF(N$5&lt;=Inicio!$D$13,+$D25/$C25,0)),0)</f>
        <v>0</v>
      </c>
      <c r="O25" s="110">
        <f>IF(O$5&lt;=$C25,(IF(O$5&lt;=Inicio!$D$13,+$D25/$C25,0)),0)</f>
        <v>0</v>
      </c>
      <c r="P25" s="110">
        <f>IF(P$5&lt;=$C25,(IF(P$5&lt;=Inicio!$D$13,+$D25/$C25,0)),0)</f>
        <v>0</v>
      </c>
      <c r="Q25" s="110">
        <f>IF(Q$5&lt;=$C25,(IF(Q$5&lt;=Inicio!$D$13,+$D25/$C25,0)),0)</f>
        <v>0</v>
      </c>
      <c r="R25" s="110">
        <f>IF(R$5&lt;=$C25,(IF(R$5&lt;=Inicio!$D$13,+$D25/$C25,0)),0)</f>
        <v>0</v>
      </c>
      <c r="S25" s="110">
        <f>IF(S$5&lt;=$C25,(IF(S$5&lt;=Inicio!$D$13,+$D25/$C25,0)),0)</f>
        <v>0</v>
      </c>
    </row>
    <row r="26" spans="2:21" ht="16.5" thickTop="1" thickBot="1" x14ac:dyDescent="0.3">
      <c r="B26" s="107" t="str">
        <f>Inicio!C106</f>
        <v>Certificado de Patente</v>
      </c>
      <c r="C26" s="107">
        <f>IF(Inicio!$F$13="Años",Inicio!D106,Inicio!D106*12)</f>
        <v>3</v>
      </c>
      <c r="D26" s="107">
        <f>Inicio!E106</f>
        <v>10000000</v>
      </c>
      <c r="E26" s="107">
        <f>IF(E$5&lt;=$C26,(IF(E$5&lt;=Inicio!$D$13,+$D26/$C26,0)),0)</f>
        <v>3333333.3333333335</v>
      </c>
      <c r="F26" s="107">
        <f>IF(F$5&lt;=$C26,(IF(F$5&lt;=Inicio!$D$13,+$D26/$C26,0)),0)</f>
        <v>3333333.3333333335</v>
      </c>
      <c r="G26" s="107">
        <f>IF(G$5&lt;=$C26,(IF(G$5&lt;=Inicio!$D$13,+$D26/$C26,0)),0)</f>
        <v>3333333.3333333335</v>
      </c>
      <c r="H26" s="107">
        <f>IF(H$5&lt;=$C26,(IF(H$5&lt;=Inicio!$D$13,+$D26/$C26,0)),0)</f>
        <v>0</v>
      </c>
      <c r="I26" s="107">
        <f>IF(I$5&lt;=$C26,(IF(I$5&lt;=Inicio!$D$13,+$D26/$C26,0)),0)</f>
        <v>0</v>
      </c>
      <c r="J26" s="110">
        <f>IF(J$5&lt;=$C26,(IF(J$5&lt;=Inicio!$D$13,+$D26/$C26,0)),0)</f>
        <v>0</v>
      </c>
      <c r="K26" s="110">
        <f>IF(K$5&lt;=$C26,(IF(K$5&lt;=Inicio!$D$13,+$D26/$C26,0)),0)</f>
        <v>0</v>
      </c>
      <c r="L26" s="110">
        <f>IF(L$5&lt;=$C26,(IF(L$5&lt;=Inicio!$D$13,+$D26/$C26,0)),0)</f>
        <v>0</v>
      </c>
      <c r="M26" s="110">
        <f>IF(M$5&lt;=$C26,(IF(M$5&lt;=Inicio!$D$13,+$D26/$C26,0)),0)</f>
        <v>0</v>
      </c>
      <c r="N26" s="110">
        <f>IF(N$5&lt;=$C26,(IF(N$5&lt;=Inicio!$D$13,+$D26/$C26,0)),0)</f>
        <v>0</v>
      </c>
      <c r="O26" s="110">
        <f>IF(O$5&lt;=$C26,(IF(O$5&lt;=Inicio!$D$13,+$D26/$C26,0)),0)</f>
        <v>0</v>
      </c>
      <c r="P26" s="110">
        <f>IF(P$5&lt;=$C26,(IF(P$5&lt;=Inicio!$D$13,+$D26/$C26,0)),0)</f>
        <v>0</v>
      </c>
      <c r="Q26" s="110">
        <f>IF(Q$5&lt;=$C26,(IF(Q$5&lt;=Inicio!$D$13,+$D26/$C26,0)),0)</f>
        <v>0</v>
      </c>
      <c r="R26" s="110">
        <f>IF(R$5&lt;=$C26,(IF(R$5&lt;=Inicio!$D$13,+$D26/$C26,0)),0)</f>
        <v>0</v>
      </c>
      <c r="S26" s="110">
        <f>IF(S$5&lt;=$C26,(IF(S$5&lt;=Inicio!$D$13,+$D26/$C26,0)),0)</f>
        <v>0</v>
      </c>
    </row>
    <row r="27" spans="2:21" ht="16.5" hidden="1" thickTop="1" thickBot="1" x14ac:dyDescent="0.3">
      <c r="B27" s="107" t="str">
        <f>Inicio!C107</f>
        <v>Outsourcing Laboratorio</v>
      </c>
      <c r="C27" s="107">
        <f>IF(Inicio!$F$13="Años",Inicio!D107,Inicio!D107*12)</f>
        <v>3</v>
      </c>
      <c r="D27" s="107">
        <f>Inicio!E107</f>
        <v>30000000</v>
      </c>
      <c r="E27" s="107">
        <f>IF(E$5&lt;=$C27,(IF(E$5&lt;=Inicio!$D$13,+$D27/$C27,0)),0)</f>
        <v>10000000</v>
      </c>
      <c r="F27" s="107">
        <f>IF(F$5&lt;=$C27,(IF(F$5&lt;=Inicio!$D$13,+$D27/$C27,0)),0)</f>
        <v>10000000</v>
      </c>
      <c r="G27" s="107">
        <f>IF(G$5&lt;=$C27,(IF(G$5&lt;=Inicio!$D$13,+$D27/$C27,0)),0)</f>
        <v>10000000</v>
      </c>
      <c r="H27" s="107">
        <f>IF(H$5&lt;=$C27,(IF(H$5&lt;=Inicio!$D$13,+$D27/$C27,0)),0)</f>
        <v>0</v>
      </c>
      <c r="I27" s="107">
        <f>IF(I$5&lt;=$C27,(IF(I$5&lt;=Inicio!$D$13,+$D27/$C27,0)),0)</f>
        <v>0</v>
      </c>
      <c r="J27" s="110">
        <f>IF(J$5&lt;=$C27,(IF(J$5&lt;=Inicio!$D$13,+$D27/$C27,0)),0)</f>
        <v>0</v>
      </c>
      <c r="K27" s="110">
        <f>IF(K$5&lt;=$C27,(IF(K$5&lt;=Inicio!$D$13,+$D27/$C27,0)),0)</f>
        <v>0</v>
      </c>
      <c r="L27" s="110">
        <f>IF(L$5&lt;=$C27,(IF(L$5&lt;=Inicio!$D$13,+$D27/$C27,0)),0)</f>
        <v>0</v>
      </c>
      <c r="M27" s="110">
        <f>IF(M$5&lt;=$C27,(IF(M$5&lt;=Inicio!$D$13,+$D27/$C27,0)),0)</f>
        <v>0</v>
      </c>
      <c r="N27" s="110">
        <f>IF(N$5&lt;=$C27,(IF(N$5&lt;=Inicio!$D$13,+$D27/$C27,0)),0)</f>
        <v>0</v>
      </c>
      <c r="O27" s="110">
        <f>IF(O$5&lt;=$C27,(IF(O$5&lt;=Inicio!$D$13,+$D27/$C27,0)),0)</f>
        <v>0</v>
      </c>
      <c r="P27" s="110">
        <f>IF(P$5&lt;=$C27,(IF(P$5&lt;=Inicio!$D$13,+$D27/$C27,0)),0)</f>
        <v>0</v>
      </c>
      <c r="Q27" s="110">
        <f>IF(Q$5&lt;=$C27,(IF(Q$5&lt;=Inicio!$D$13,+$D27/$C27,0)),0)</f>
        <v>0</v>
      </c>
      <c r="R27" s="110">
        <f>IF(R$5&lt;=$C27,(IF(R$5&lt;=Inicio!$D$13,+$D27/$C27,0)),0)</f>
        <v>0</v>
      </c>
      <c r="S27" s="110">
        <f>IF(S$5&lt;=$C27,(IF(S$5&lt;=Inicio!$D$13,+$D27/$C27,0)),0)</f>
        <v>0</v>
      </c>
    </row>
    <row r="28" spans="2:21" ht="16.5" hidden="1" thickTop="1" thickBot="1" x14ac:dyDescent="0.3">
      <c r="B28" s="107" t="str">
        <f>Inicio!C108</f>
        <v>Modulo Antifraude</v>
      </c>
      <c r="C28" s="107">
        <f>IF(Inicio!$F$13="Años",Inicio!D108,Inicio!D108*12)</f>
        <v>3</v>
      </c>
      <c r="D28" s="107">
        <f>Inicio!E108</f>
        <v>15000000</v>
      </c>
      <c r="E28" s="107">
        <f>IF(E$5&lt;=$C28,(IF(E$5&lt;=Inicio!$D$13,+$D28/$C28,0)),0)</f>
        <v>5000000</v>
      </c>
      <c r="F28" s="107">
        <f>IF(F$5&lt;=$C28,(IF(F$5&lt;=Inicio!$D$13,+$D28/$C28,0)),0)</f>
        <v>5000000</v>
      </c>
      <c r="G28" s="107">
        <f>IF(G$5&lt;=$C28,(IF(G$5&lt;=Inicio!$D$13,+$D28/$C28,0)),0)</f>
        <v>5000000</v>
      </c>
      <c r="H28" s="107">
        <f>IF(H$5&lt;=$C28,(IF(H$5&lt;=Inicio!$D$13,+$D28/$C28,0)),0)</f>
        <v>0</v>
      </c>
      <c r="I28" s="107">
        <f>IF(I$5&lt;=$C28,(IF(I$5&lt;=Inicio!$D$13,+$D28/$C28,0)),0)</f>
        <v>0</v>
      </c>
      <c r="J28" s="110">
        <f>IF(J$5&lt;=$C28,(IF(J$5&lt;=Inicio!$D$13,+$D28/$C28,0)),0)</f>
        <v>0</v>
      </c>
      <c r="K28" s="110">
        <f>IF(K$5&lt;=$C28,(IF(K$5&lt;=Inicio!$D$13,+$D28/$C28,0)),0)</f>
        <v>0</v>
      </c>
      <c r="L28" s="110">
        <f>IF(L$5&lt;=$C28,(IF(L$5&lt;=Inicio!$D$13,+$D28/$C28,0)),0)</f>
        <v>0</v>
      </c>
      <c r="M28" s="110">
        <f>IF(M$5&lt;=$C28,(IF(M$5&lt;=Inicio!$D$13,+$D28/$C28,0)),0)</f>
        <v>0</v>
      </c>
      <c r="N28" s="110">
        <f>IF(N$5&lt;=$C28,(IF(N$5&lt;=Inicio!$D$13,+$D28/$C28,0)),0)</f>
        <v>0</v>
      </c>
      <c r="O28" s="110">
        <f>IF(O$5&lt;=$C28,(IF(O$5&lt;=Inicio!$D$13,+$D28/$C28,0)),0)</f>
        <v>0</v>
      </c>
      <c r="P28" s="110">
        <f>IF(P$5&lt;=$C28,(IF(P$5&lt;=Inicio!$D$13,+$D28/$C28,0)),0)</f>
        <v>0</v>
      </c>
      <c r="Q28" s="110">
        <f>IF(Q$5&lt;=$C28,(IF(Q$5&lt;=Inicio!$D$13,+$D28/$C28,0)),0)</f>
        <v>0</v>
      </c>
      <c r="R28" s="110">
        <f>IF(R$5&lt;=$C28,(IF(R$5&lt;=Inicio!$D$13,+$D28/$C28,0)),0)</f>
        <v>0</v>
      </c>
      <c r="S28" s="110">
        <f>IF(S$5&lt;=$C28,(IF(S$5&lt;=Inicio!$D$13,+$D28/$C28,0)),0)</f>
        <v>0</v>
      </c>
    </row>
    <row r="29" spans="2:21" ht="16.5" hidden="1" thickTop="1" thickBot="1" x14ac:dyDescent="0.3">
      <c r="B29" s="107">
        <f>Inicio!C109</f>
        <v>0</v>
      </c>
      <c r="C29" s="107">
        <f>IF(Inicio!$F$13="Años",Inicio!D109,Inicio!D109*12)</f>
        <v>0</v>
      </c>
      <c r="D29" s="107">
        <f>Inicio!E109</f>
        <v>0</v>
      </c>
      <c r="E29" s="107">
        <f>IF(E$5&lt;=$C29,(IF(E$5&lt;=Inicio!$D$13,+$D29/$C29,0)),0)</f>
        <v>0</v>
      </c>
      <c r="F29" s="107">
        <f>IF(F$5&lt;=$C29,(IF(F$5&lt;=Inicio!$D$13,+$D29/$C29,0)),0)</f>
        <v>0</v>
      </c>
      <c r="G29" s="107">
        <f>IF(G$5&lt;=$C29,(IF(G$5&lt;=Inicio!$D$13,+$D29/$C29,0)),0)</f>
        <v>0</v>
      </c>
      <c r="H29" s="107">
        <f>IF(H$5&lt;=$C29,(IF(H$5&lt;=Inicio!$D$13,+$D29/$C29,0)),0)</f>
        <v>0</v>
      </c>
      <c r="I29" s="107">
        <f>IF(I$5&lt;=$C29,(IF(I$5&lt;=Inicio!$D$13,+$D29/$C29,0)),0)</f>
        <v>0</v>
      </c>
      <c r="J29" s="110">
        <f>IF(J$5&lt;=$C29,(IF(J$5&lt;=Inicio!$D$13,+$D29/$C29,0)),0)</f>
        <v>0</v>
      </c>
      <c r="K29" s="110">
        <f>IF(K$5&lt;=$C29,(IF(K$5&lt;=Inicio!$D$13,+$D29/$C29,0)),0)</f>
        <v>0</v>
      </c>
      <c r="L29" s="110">
        <f>IF(L$5&lt;=$C29,(IF(L$5&lt;=Inicio!$D$13,+$D29/$C29,0)),0)</f>
        <v>0</v>
      </c>
      <c r="M29" s="110">
        <f>IF(M$5&lt;=$C29,(IF(M$5&lt;=Inicio!$D$13,+$D29/$C29,0)),0)</f>
        <v>0</v>
      </c>
      <c r="N29" s="110">
        <f>IF(N$5&lt;=$C29,(IF(N$5&lt;=Inicio!$D$13,+$D29/$C29,0)),0)</f>
        <v>0</v>
      </c>
      <c r="O29" s="110">
        <f>IF(O$5&lt;=$C29,(IF(O$5&lt;=Inicio!$D$13,+$D29/$C29,0)),0)</f>
        <v>0</v>
      </c>
      <c r="P29" s="110">
        <f>IF(P$5&lt;=$C29,(IF(P$5&lt;=Inicio!$D$13,+$D29/$C29,0)),0)</f>
        <v>0</v>
      </c>
      <c r="Q29" s="110">
        <f>IF(Q$5&lt;=$C29,(IF(Q$5&lt;=Inicio!$D$13,+$D29/$C29,0)),0)</f>
        <v>0</v>
      </c>
      <c r="R29" s="110">
        <f>IF(R$5&lt;=$C29,(IF(R$5&lt;=Inicio!$D$13,+$D29/$C29,0)),0)</f>
        <v>0</v>
      </c>
      <c r="S29" s="110">
        <f>IF(S$5&lt;=$C29,(IF(S$5&lt;=Inicio!$D$13,+$D29/$C29,0)),0)</f>
        <v>0</v>
      </c>
    </row>
    <row r="30" spans="2:21" ht="16.5" hidden="1" thickTop="1" thickBot="1" x14ac:dyDescent="0.3">
      <c r="B30" s="107">
        <f>Inicio!C110</f>
        <v>0</v>
      </c>
      <c r="C30" s="107">
        <f>IF(Inicio!$F$13="Años",Inicio!D110,Inicio!D110*12)</f>
        <v>0</v>
      </c>
      <c r="D30" s="107">
        <f>Inicio!E110</f>
        <v>0</v>
      </c>
      <c r="E30" s="107">
        <f>IF(E$5&lt;=$C30,(IF(E$5&lt;=Inicio!$D$13,+$D30/$C30,0)),0)</f>
        <v>0</v>
      </c>
      <c r="F30" s="107">
        <f>IF(F$5&lt;=$C30,(IF(F$5&lt;=Inicio!$D$13,+$D30/$C30,0)),0)</f>
        <v>0</v>
      </c>
      <c r="G30" s="107">
        <f>IF(G$5&lt;=$C30,(IF(G$5&lt;=Inicio!$D$13,+$D30/$C30,0)),0)</f>
        <v>0</v>
      </c>
      <c r="H30" s="107">
        <f>IF(H$5&lt;=$C30,(IF(H$5&lt;=Inicio!$D$13,+$D30/$C30,0)),0)</f>
        <v>0</v>
      </c>
      <c r="I30" s="107">
        <f>IF(I$5&lt;=$C30,(IF(I$5&lt;=Inicio!$D$13,+$D30/$C30,0)),0)</f>
        <v>0</v>
      </c>
      <c r="J30" s="110">
        <f>IF(J$5&lt;=$C30,(IF(J$5&lt;=Inicio!$D$13,+$D30/$C30,0)),0)</f>
        <v>0</v>
      </c>
      <c r="K30" s="110">
        <f>IF(K$5&lt;=$C30,(IF(K$5&lt;=Inicio!$D$13,+$D30/$C30,0)),0)</f>
        <v>0</v>
      </c>
      <c r="L30" s="110">
        <f>IF(L$5&lt;=$C30,(IF(L$5&lt;=Inicio!$D$13,+$D30/$C30,0)),0)</f>
        <v>0</v>
      </c>
      <c r="M30" s="110">
        <f>IF(M$5&lt;=$C30,(IF(M$5&lt;=Inicio!$D$13,+$D30/$C30,0)),0)</f>
        <v>0</v>
      </c>
      <c r="N30" s="110">
        <f>IF(N$5&lt;=$C30,(IF(N$5&lt;=Inicio!$D$13,+$D30/$C30,0)),0)</f>
        <v>0</v>
      </c>
      <c r="O30" s="110">
        <f>IF(O$5&lt;=$C30,(IF(O$5&lt;=Inicio!$D$13,+$D30/$C30,0)),0)</f>
        <v>0</v>
      </c>
      <c r="P30" s="110">
        <f>IF(P$5&lt;=$C30,(IF(P$5&lt;=Inicio!$D$13,+$D30/$C30,0)),0)</f>
        <v>0</v>
      </c>
      <c r="Q30" s="110">
        <f>IF(Q$5&lt;=$C30,(IF(Q$5&lt;=Inicio!$D$13,+$D30/$C30,0)),0)</f>
        <v>0</v>
      </c>
      <c r="R30" s="110">
        <f>IF(R$5&lt;=$C30,(IF(R$5&lt;=Inicio!$D$13,+$D30/$C30,0)),0)</f>
        <v>0</v>
      </c>
      <c r="S30" s="110">
        <f>IF(S$5&lt;=$C30,(IF(S$5&lt;=Inicio!$D$13,+$D30/$C30,0)),0)</f>
        <v>0</v>
      </c>
    </row>
    <row r="31" spans="2:21" ht="16.5" hidden="1" thickTop="1" thickBot="1" x14ac:dyDescent="0.3">
      <c r="B31" s="107">
        <f>Inicio!C111</f>
        <v>0</v>
      </c>
      <c r="C31" s="107">
        <f>IF(Inicio!$F$13="Años",Inicio!D111,Inicio!D111*12)</f>
        <v>0</v>
      </c>
      <c r="D31" s="107">
        <f>Inicio!E111</f>
        <v>0</v>
      </c>
      <c r="E31" s="107">
        <f>IF(E$5&lt;=$C31,(IF(E$5&lt;=Inicio!$D$13,+$D31/$C31,0)),0)</f>
        <v>0</v>
      </c>
      <c r="F31" s="107">
        <f>IF(F$5&lt;=$C31,(IF(F$5&lt;=Inicio!$D$13,+$D31/$C31,0)),0)</f>
        <v>0</v>
      </c>
      <c r="G31" s="107">
        <f>IF(G$5&lt;=$C31,(IF(G$5&lt;=Inicio!$D$13,+$D31/$C31,0)),0)</f>
        <v>0</v>
      </c>
      <c r="H31" s="107">
        <f>IF(H$5&lt;=$C31,(IF(H$5&lt;=Inicio!$D$13,+$D31/$C31,0)),0)</f>
        <v>0</v>
      </c>
      <c r="I31" s="107">
        <f>IF(I$5&lt;=$C31,(IF(I$5&lt;=Inicio!$D$13,+$D31/$C31,0)),0)</f>
        <v>0</v>
      </c>
      <c r="J31" s="110">
        <f>IF(J$5&lt;=$C31,(IF(J$5&lt;=Inicio!$D$13,+$D31/$C31,0)),0)</f>
        <v>0</v>
      </c>
      <c r="K31" s="110">
        <f>IF(K$5&lt;=$C31,(IF(K$5&lt;=Inicio!$D$13,+$D31/$C31,0)),0)</f>
        <v>0</v>
      </c>
      <c r="L31" s="110">
        <f>IF(L$5&lt;=$C31,(IF(L$5&lt;=Inicio!$D$13,+$D31/$C31,0)),0)</f>
        <v>0</v>
      </c>
      <c r="M31" s="110">
        <f>IF(M$5&lt;=$C31,(IF(M$5&lt;=Inicio!$D$13,+$D31/$C31,0)),0)</f>
        <v>0</v>
      </c>
      <c r="N31" s="110">
        <f>IF(N$5&lt;=$C31,(IF(N$5&lt;=Inicio!$D$13,+$D31/$C31,0)),0)</f>
        <v>0</v>
      </c>
      <c r="O31" s="110">
        <f>IF(O$5&lt;=$C31,(IF(O$5&lt;=Inicio!$D$13,+$D31/$C31,0)),0)</f>
        <v>0</v>
      </c>
      <c r="P31" s="110">
        <f>IF(P$5&lt;=$C31,(IF(P$5&lt;=Inicio!$D$13,+$D31/$C31,0)),0)</f>
        <v>0</v>
      </c>
      <c r="Q31" s="110">
        <f>IF(Q$5&lt;=$C31,(IF(Q$5&lt;=Inicio!$D$13,+$D31/$C31,0)),0)</f>
        <v>0</v>
      </c>
      <c r="R31" s="110">
        <f>IF(R$5&lt;=$C31,(IF(R$5&lt;=Inicio!$D$13,+$D31/$C31,0)),0)</f>
        <v>0</v>
      </c>
      <c r="S31" s="110">
        <f>IF(S$5&lt;=$C31,(IF(S$5&lt;=Inicio!$D$13,+$D31/$C31,0)),0)</f>
        <v>0</v>
      </c>
    </row>
    <row r="32" spans="2:21" ht="16.5" hidden="1" thickTop="1" thickBot="1" x14ac:dyDescent="0.3">
      <c r="B32" s="107">
        <f>Inicio!C112</f>
        <v>0</v>
      </c>
      <c r="C32" s="107">
        <f>IF(Inicio!$F$13="Años",Inicio!D112,Inicio!D112*12)</f>
        <v>0</v>
      </c>
      <c r="D32" s="107">
        <f>Inicio!E112</f>
        <v>0</v>
      </c>
      <c r="E32" s="107">
        <f>IF(E$5&lt;=$C32,(IF(E$5&lt;=Inicio!$D$13,+$D32/$C32,0)),0)</f>
        <v>0</v>
      </c>
      <c r="F32" s="107">
        <f>IF(F$5&lt;=$C32,(IF(F$5&lt;=Inicio!$D$13,+$D32/$C32,0)),0)</f>
        <v>0</v>
      </c>
      <c r="G32" s="107">
        <f>IF(G$5&lt;=$C32,(IF(G$5&lt;=Inicio!$D$13,+$D32/$C32,0)),0)</f>
        <v>0</v>
      </c>
      <c r="H32" s="107">
        <f>IF(H$5&lt;=$C32,(IF(H$5&lt;=Inicio!$D$13,+$D32/$C32,0)),0)</f>
        <v>0</v>
      </c>
      <c r="I32" s="107">
        <f>IF(I$5&lt;=$C32,(IF(I$5&lt;=Inicio!$D$13,+$D32/$C32,0)),0)</f>
        <v>0</v>
      </c>
      <c r="J32" s="110">
        <f>IF(J$5&lt;=$C32,(IF(J$5&lt;=Inicio!$D$13,+$D32/$C32,0)),0)</f>
        <v>0</v>
      </c>
      <c r="K32" s="110">
        <f>IF(K$5&lt;=$C32,(IF(K$5&lt;=Inicio!$D$13,+$D32/$C32,0)),0)</f>
        <v>0</v>
      </c>
      <c r="L32" s="110">
        <f>IF(L$5&lt;=$C32,(IF(L$5&lt;=Inicio!$D$13,+$D32/$C32,0)),0)</f>
        <v>0</v>
      </c>
      <c r="M32" s="110">
        <f>IF(M$5&lt;=$C32,(IF(M$5&lt;=Inicio!$D$13,+$D32/$C32,0)),0)</f>
        <v>0</v>
      </c>
      <c r="N32" s="110">
        <f>IF(N$5&lt;=$C32,(IF(N$5&lt;=Inicio!$D$13,+$D32/$C32,0)),0)</f>
        <v>0</v>
      </c>
      <c r="O32" s="110">
        <f>IF(O$5&lt;=$C32,(IF(O$5&lt;=Inicio!$D$13,+$D32/$C32,0)),0)</f>
        <v>0</v>
      </c>
      <c r="P32" s="110">
        <f>IF(P$5&lt;=$C32,(IF(P$5&lt;=Inicio!$D$13,+$D32/$C32,0)),0)</f>
        <v>0</v>
      </c>
      <c r="Q32" s="110">
        <f>IF(Q$5&lt;=$C32,(IF(Q$5&lt;=Inicio!$D$13,+$D32/$C32,0)),0)</f>
        <v>0</v>
      </c>
      <c r="R32" s="110">
        <f>IF(R$5&lt;=$C32,(IF(R$5&lt;=Inicio!$D$13,+$D32/$C32,0)),0)</f>
        <v>0</v>
      </c>
      <c r="S32" s="110">
        <f>IF(S$5&lt;=$C32,(IF(S$5&lt;=Inicio!$D$13,+$D32/$C32,0)),0)</f>
        <v>0</v>
      </c>
      <c r="T32" s="79" t="s">
        <v>0</v>
      </c>
    </row>
    <row r="33" spans="2:21" ht="16.5" hidden="1" thickTop="1" thickBot="1" x14ac:dyDescent="0.3">
      <c r="B33" s="107">
        <f>Inicio!C113</f>
        <v>0</v>
      </c>
      <c r="C33" s="107">
        <f>IF(Inicio!$F$13="Años",Inicio!D113,Inicio!D113*12)</f>
        <v>0</v>
      </c>
      <c r="D33" s="107">
        <f>Inicio!E113</f>
        <v>0</v>
      </c>
      <c r="E33" s="107">
        <f>IF(E$5&lt;=$C33,(IF(E$5&lt;=Inicio!$D$13,+$D33/$C33,0)),0)</f>
        <v>0</v>
      </c>
      <c r="F33" s="107">
        <f>IF(F$5&lt;=$C33,(IF(F$5&lt;=Inicio!$D$13,+$D33/$C33,0)),0)</f>
        <v>0</v>
      </c>
      <c r="G33" s="107">
        <f>IF(G$5&lt;=$C33,(IF(G$5&lt;=Inicio!$D$13,+$D33/$C33,0)),0)</f>
        <v>0</v>
      </c>
      <c r="H33" s="107">
        <f>IF(H$5&lt;=$C33,(IF(H$5&lt;=Inicio!$D$13,+$D33/$C33,0)),0)</f>
        <v>0</v>
      </c>
      <c r="I33" s="107">
        <f>IF(I$5&lt;=$C33,(IF(I$5&lt;=Inicio!$D$13,+$D33/$C33,0)),0)</f>
        <v>0</v>
      </c>
      <c r="J33" s="110">
        <f>IF(J$5&lt;=$C33,(IF(J$5&lt;=Inicio!$D$13,+$D33/$C33,0)),0)</f>
        <v>0</v>
      </c>
      <c r="K33" s="110">
        <f>IF(K$5&lt;=$C33,(IF(K$5&lt;=Inicio!$D$13,+$D33/$C33,0)),0)</f>
        <v>0</v>
      </c>
      <c r="L33" s="110">
        <f>IF(L$5&lt;=$C33,(IF(L$5&lt;=Inicio!$D$13,+$D33/$C33,0)),0)</f>
        <v>0</v>
      </c>
      <c r="M33" s="110">
        <f>IF(M$5&lt;=$C33,(IF(M$5&lt;=Inicio!$D$13,+$D33/$C33,0)),0)</f>
        <v>0</v>
      </c>
      <c r="N33" s="110">
        <f>IF(N$5&lt;=$C33,(IF(N$5&lt;=Inicio!$D$13,+$D33/$C33,0)),0)</f>
        <v>0</v>
      </c>
      <c r="O33" s="110">
        <f>IF(O$5&lt;=$C33,(IF(O$5&lt;=Inicio!$D$13,+$D33/$C33,0)),0)</f>
        <v>0</v>
      </c>
      <c r="P33" s="110">
        <f>IF(P$5&lt;=$C33,(IF(P$5&lt;=Inicio!$D$13,+$D33/$C33,0)),0)</f>
        <v>0</v>
      </c>
      <c r="Q33" s="110">
        <f>IF(Q$5&lt;=$C33,(IF(Q$5&lt;=Inicio!$D$13,+$D33/$C33,0)),0)</f>
        <v>0</v>
      </c>
      <c r="R33" s="110">
        <f>IF(R$5&lt;=$C33,(IF(R$5&lt;=Inicio!$D$13,+$D33/$C33,0)),0)</f>
        <v>0</v>
      </c>
      <c r="S33" s="110">
        <f>IF(S$5&lt;=$C33,(IF(S$5&lt;=Inicio!$D$13,+$D33/$C33,0)),0)</f>
        <v>0</v>
      </c>
    </row>
    <row r="34" spans="2:21" ht="16.5" thickTop="1" thickBot="1" x14ac:dyDescent="0.3">
      <c r="B34" s="99" t="s">
        <v>62</v>
      </c>
      <c r="C34" s="99"/>
      <c r="D34" s="130">
        <f t="shared" ref="D34:I34" si="1">SUM(D24:D32)</f>
        <v>68000000</v>
      </c>
      <c r="E34" s="130">
        <f t="shared" si="1"/>
        <v>22666666.666666668</v>
      </c>
      <c r="F34" s="130">
        <f t="shared" si="1"/>
        <v>22666666.666666668</v>
      </c>
      <c r="G34" s="130">
        <f t="shared" si="1"/>
        <v>22666666.666666668</v>
      </c>
      <c r="H34" s="130">
        <f t="shared" si="1"/>
        <v>0</v>
      </c>
      <c r="I34" s="130">
        <f t="shared" si="1"/>
        <v>0</v>
      </c>
      <c r="J34" s="130">
        <f t="shared" ref="J34:S34" si="2">SUM(J24:J32)</f>
        <v>0</v>
      </c>
      <c r="K34" s="130">
        <f t="shared" si="2"/>
        <v>0</v>
      </c>
      <c r="L34" s="130">
        <f t="shared" si="2"/>
        <v>0</v>
      </c>
      <c r="M34" s="130">
        <f t="shared" si="2"/>
        <v>0</v>
      </c>
      <c r="N34" s="130">
        <f t="shared" si="2"/>
        <v>0</v>
      </c>
      <c r="O34" s="130">
        <f t="shared" si="2"/>
        <v>0</v>
      </c>
      <c r="P34" s="130">
        <f t="shared" si="2"/>
        <v>0</v>
      </c>
      <c r="Q34" s="130">
        <f t="shared" si="2"/>
        <v>0</v>
      </c>
      <c r="R34" s="130">
        <f t="shared" si="2"/>
        <v>0</v>
      </c>
      <c r="S34" s="130">
        <f t="shared" si="2"/>
        <v>0</v>
      </c>
      <c r="T34" s="131"/>
      <c r="U34" s="131"/>
    </row>
    <row r="35" spans="2:21" ht="13.5" thickTop="1" x14ac:dyDescent="0.2"/>
    <row r="36" spans="2:21" x14ac:dyDescent="0.2"/>
    <row r="37" spans="2:21" x14ac:dyDescent="0.2"/>
  </sheetData>
  <sheetProtection password="99B7" sheet="1" objects="1" scenarios="1"/>
  <customSheetViews>
    <customSheetView guid="{4BF10618-D357-11D5-9338-EFF21189730A}" showGridLines="0" showRuler="0" topLeftCell="J1">
      <selection activeCell="R3" sqref="R3"/>
      <pageMargins left="0.48" right="0.51181102362204722" top="0.68" bottom="0.98425196850393704" header="0" footer="0"/>
      <printOptions horizontalCentered="1"/>
      <pageSetup scale="55" orientation="landscape" horizontalDpi="300" verticalDpi="300" r:id="rId1"/>
      <headerFooter alignWithMargins="0"/>
    </customSheetView>
  </customSheetViews>
  <mergeCells count="5">
    <mergeCell ref="B2:S2"/>
    <mergeCell ref="B3:S3"/>
    <mergeCell ref="B4:S4"/>
    <mergeCell ref="B23:D23"/>
    <mergeCell ref="B6:D6"/>
  </mergeCells>
  <printOptions horizontalCentered="1"/>
  <pageMargins left="0.48" right="0.51181102362204722" top="0.68" bottom="0.98425196850393704" header="0" footer="0"/>
  <pageSetup scale="55" orientation="landscape" horizontalDpi="300" verticalDpi="300" r:id="rId2"/>
  <headerFooter alignWithMargins="0"/>
  <ignoredErrors>
    <ignoredError sqref="B2:S4 B7:D3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72"/>
  <sheetViews>
    <sheetView showGridLines="0" showRowColHeaders="0" showOutlineSymbols="0" workbookViewId="0">
      <selection activeCell="E10" sqref="E10"/>
    </sheetView>
  </sheetViews>
  <sheetFormatPr baseColWidth="10" defaultColWidth="0" defaultRowHeight="12.75" zeroHeight="1" x14ac:dyDescent="0.2"/>
  <cols>
    <col min="1" max="1" width="7.28515625" style="79" customWidth="1"/>
    <col min="2" max="2" width="28.28515625" style="79" bestFit="1" customWidth="1"/>
    <col min="3" max="5" width="17.140625" style="79" bestFit="1" customWidth="1"/>
    <col min="6" max="7" width="17.140625" style="79" hidden="1" customWidth="1"/>
    <col min="8" max="17" width="6.5703125" style="79" hidden="1" customWidth="1"/>
    <col min="18" max="18" width="11.42578125" style="79" customWidth="1"/>
    <col min="19" max="16384" width="11.42578125" style="79" hidden="1"/>
  </cols>
  <sheetData>
    <row r="1" spans="2:18" x14ac:dyDescent="0.2"/>
    <row r="2" spans="2:18" ht="18" x14ac:dyDescent="0.25">
      <c r="B2" s="295" t="str">
        <f>'presupuesto compras y ventas'!B1:G1</f>
        <v>PROYECTO E-VISTETIC S.A.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spans="2:18" x14ac:dyDescent="0.2">
      <c r="B3" s="296" t="s">
        <v>117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2:18" ht="13.5" thickBot="1" x14ac:dyDescent="0.25">
      <c r="B4" s="293" t="str">
        <f>IF(Inicio!$F$13="Años","En Años","En Meses")</f>
        <v>En Años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2:18" ht="19.5" thickBot="1" x14ac:dyDescent="0.35">
      <c r="B5" s="308" t="s">
        <v>282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10"/>
    </row>
    <row r="6" spans="2:18" ht="15.75" thickBot="1" x14ac:dyDescent="0.3">
      <c r="B6" s="151" t="s">
        <v>53</v>
      </c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151">
        <v>11</v>
      </c>
      <c r="N6" s="151">
        <v>12</v>
      </c>
      <c r="O6" s="151">
        <v>13</v>
      </c>
      <c r="P6" s="151">
        <v>14</v>
      </c>
      <c r="Q6" s="151">
        <v>15</v>
      </c>
      <c r="R6" s="88"/>
    </row>
    <row r="7" spans="2:18" ht="16.5" thickTop="1" thickBot="1" x14ac:dyDescent="0.3">
      <c r="B7" s="107" t="str">
        <f>Inicio!C151</f>
        <v>Servicios Publicos</v>
      </c>
      <c r="C7" s="107">
        <f>IF(Inicio!$F$13="Años",(Inicio!D151*12),Inicio!D151)</f>
        <v>36000000</v>
      </c>
      <c r="D7" s="107">
        <f>IF(D$6&lt;=Inicio!$D$13,+(C7*$C$26)+C7,0)</f>
        <v>37080000</v>
      </c>
      <c r="E7" s="107">
        <f>IF(E$6&lt;=Inicio!$D$13,+(D7*$C$26)+D7,0)</f>
        <v>38192400</v>
      </c>
      <c r="F7" s="107">
        <f>IF(F$6&lt;=Inicio!$D$13,+(E7*$C$26)+E7,0)</f>
        <v>0</v>
      </c>
      <c r="G7" s="107">
        <f>IF(G$6&lt;=Inicio!$D$13,+(F7*$C$26)+F7,0)</f>
        <v>0</v>
      </c>
      <c r="H7" s="107">
        <f>IF(H$6&lt;=Inicio!$D$13,+(G7*$C$26)+G7,0)</f>
        <v>0</v>
      </c>
      <c r="I7" s="107">
        <f>IF(I$6&lt;=Inicio!$D$13,+(H7*$C$26)+H7,0)</f>
        <v>0</v>
      </c>
      <c r="J7" s="107">
        <f>IF(J$6&lt;=Inicio!$D$13,+(I7*$C$26)+I7,0)</f>
        <v>0</v>
      </c>
      <c r="K7" s="107">
        <f>IF(K$6&lt;=Inicio!$D$13,+(J7*$C$26)+J7,0)</f>
        <v>0</v>
      </c>
      <c r="L7" s="107">
        <f>IF(L$6&lt;=Inicio!$D$13,+(K7*$C$26)+K7,0)</f>
        <v>0</v>
      </c>
      <c r="M7" s="107">
        <f>IF(M$6&lt;=Inicio!$D$13,+(L7*$C$26)+L7,0)</f>
        <v>0</v>
      </c>
      <c r="N7" s="107">
        <f>IF(N$6&lt;=Inicio!$D$13,+(M7*$C$26)+M7,0)</f>
        <v>0</v>
      </c>
      <c r="O7" s="107">
        <f>IF(O$6&lt;=Inicio!$D$13,+(N7*$C$26)+N7,0)</f>
        <v>0</v>
      </c>
      <c r="P7" s="107">
        <f>IF(P$6&lt;=Inicio!$D$13,+(O7*$C$26)+O7,0)</f>
        <v>0</v>
      </c>
      <c r="Q7" s="107">
        <f>IF(Q$6&lt;=Inicio!$D$13,+(P7*$C$26)+P7,0)</f>
        <v>0</v>
      </c>
      <c r="R7" s="152"/>
    </row>
    <row r="8" spans="2:18" ht="16.5" thickTop="1" thickBot="1" x14ac:dyDescent="0.3">
      <c r="B8" s="107" t="str">
        <f>Inicio!C152</f>
        <v>Internet Banda Ancha 25 Gigas</v>
      </c>
      <c r="C8" s="107">
        <f>IF(Inicio!$F$13="Años",(Inicio!D152*12),Inicio!D152)</f>
        <v>5400000</v>
      </c>
      <c r="D8" s="107">
        <f>IF(D$6&lt;=Inicio!$D$13,+(C8*$C$26)+C8,0)</f>
        <v>5562000</v>
      </c>
      <c r="E8" s="107">
        <f>IF(E$6&lt;=Inicio!$D$13,+(D8*$C$26)+D8,0)</f>
        <v>5728860</v>
      </c>
      <c r="F8" s="107">
        <f>IF(F$6&lt;=Inicio!$D$13,+(E8*$C$26)+E8,0)</f>
        <v>0</v>
      </c>
      <c r="G8" s="107">
        <f>IF(G$6&lt;=Inicio!$D$13,+(F8*$C$26)+F8,0)</f>
        <v>0</v>
      </c>
      <c r="H8" s="107">
        <f>IF(H$6&lt;=Inicio!$D$13,+(G8*$C$26)+G8,0)</f>
        <v>0</v>
      </c>
      <c r="I8" s="107">
        <f>IF(I$6&lt;=Inicio!$D$13,+(H8*$C$26)+H8,0)</f>
        <v>0</v>
      </c>
      <c r="J8" s="107">
        <f>IF(J$6&lt;=Inicio!$D$13,+(I8*$C$26)+I8,0)</f>
        <v>0</v>
      </c>
      <c r="K8" s="107">
        <f>IF(K$6&lt;=Inicio!$D$13,+(J8*$C$26)+J8,0)</f>
        <v>0</v>
      </c>
      <c r="L8" s="107">
        <f>IF(L$6&lt;=Inicio!$D$13,+(K8*$C$26)+K8,0)</f>
        <v>0</v>
      </c>
      <c r="M8" s="107">
        <f>IF(M$6&lt;=Inicio!$D$13,+(L8*$C$26)+L8,0)</f>
        <v>0</v>
      </c>
      <c r="N8" s="107">
        <f>IF(N$6&lt;=Inicio!$D$13,+(M8*$C$26)+M8,0)</f>
        <v>0</v>
      </c>
      <c r="O8" s="107">
        <f>IF(O$6&lt;=Inicio!$D$13,+(N8*$C$26)+N8,0)</f>
        <v>0</v>
      </c>
      <c r="P8" s="107">
        <f>IF(P$6&lt;=Inicio!$D$13,+(O8*$C$26)+O8,0)</f>
        <v>0</v>
      </c>
      <c r="Q8" s="107">
        <f>IF(Q$6&lt;=Inicio!$D$13,+(P8*$C$26)+P8,0)</f>
        <v>0</v>
      </c>
      <c r="R8" s="152"/>
    </row>
    <row r="9" spans="2:18" ht="16.5" thickTop="1" thickBot="1" x14ac:dyDescent="0.3">
      <c r="B9" s="153" t="str">
        <f>Inicio!C153</f>
        <v>Papeleria</v>
      </c>
      <c r="C9" s="107">
        <f>IF(Inicio!$F$13="Años",(Inicio!D153*12),Inicio!D153)</f>
        <v>3600000</v>
      </c>
      <c r="D9" s="107">
        <f>IF(D$6&lt;=Inicio!$D$13,+(C9*$C$26)+C9,0)</f>
        <v>3708000</v>
      </c>
      <c r="E9" s="107">
        <f>IF(E$6&lt;=Inicio!$D$13,+(D9*$C$26)+D9,0)</f>
        <v>3819240</v>
      </c>
      <c r="F9" s="107">
        <f>IF(F$6&lt;=Inicio!$D$13,+(E9*$C$26)+E9,0)</f>
        <v>0</v>
      </c>
      <c r="G9" s="107">
        <f>IF(G$6&lt;=Inicio!$D$13,+(F9*$C$26)+F9,0)</f>
        <v>0</v>
      </c>
      <c r="H9" s="107">
        <f>IF(H$6&lt;=Inicio!$D$13,+(G9*$C$26)+G9,0)</f>
        <v>0</v>
      </c>
      <c r="I9" s="107">
        <f>IF(I$6&lt;=Inicio!$D$13,+(H9*$C$26)+H9,0)</f>
        <v>0</v>
      </c>
      <c r="J9" s="107">
        <f>IF(J$6&lt;=Inicio!$D$13,+(I9*$C$26)+I9,0)</f>
        <v>0</v>
      </c>
      <c r="K9" s="107">
        <f>IF(K$6&lt;=Inicio!$D$13,+(J9*$C$26)+J9,0)</f>
        <v>0</v>
      </c>
      <c r="L9" s="107">
        <f>IF(L$6&lt;=Inicio!$D$13,+(K9*$C$26)+K9,0)</f>
        <v>0</v>
      </c>
      <c r="M9" s="107">
        <f>IF(M$6&lt;=Inicio!$D$13,+(L9*$C$26)+L9,0)</f>
        <v>0</v>
      </c>
      <c r="N9" s="107">
        <f>IF(N$6&lt;=Inicio!$D$13,+(M9*$C$26)+M9,0)</f>
        <v>0</v>
      </c>
      <c r="O9" s="107">
        <f>IF(O$6&lt;=Inicio!$D$13,+(N9*$C$26)+N9,0)</f>
        <v>0</v>
      </c>
      <c r="P9" s="107">
        <f>IF(P$6&lt;=Inicio!$D$13,+(O9*$C$26)+O9,0)</f>
        <v>0</v>
      </c>
      <c r="Q9" s="107">
        <f>IF(Q$6&lt;=Inicio!$D$13,+(P9*$C$26)+P9,0)</f>
        <v>0</v>
      </c>
      <c r="R9" s="152"/>
    </row>
    <row r="10" spans="2:18" ht="16.5" thickTop="1" thickBot="1" x14ac:dyDescent="0.3">
      <c r="B10" s="107" t="str">
        <f>Inicio!C154</f>
        <v>Seguros</v>
      </c>
      <c r="C10" s="107">
        <f>IF(Inicio!$F$13="Años",(Inicio!D154*12),Inicio!D154)</f>
        <v>4800000</v>
      </c>
      <c r="D10" s="107">
        <f>IF(D$6&lt;=Inicio!$D$13,+(C10*$C$26)+C10,0)</f>
        <v>4944000</v>
      </c>
      <c r="E10" s="107">
        <f>IF(E$6&lt;=Inicio!$D$13,+(D10*$C$26)+D10,0)</f>
        <v>5092320</v>
      </c>
      <c r="F10" s="107">
        <f>IF(F$6&lt;=Inicio!$D$13,+(E10*$C$26)+E10,0)</f>
        <v>0</v>
      </c>
      <c r="G10" s="107">
        <f>IF(G$6&lt;=Inicio!$D$13,+(F10*$C$26)+F10,0)</f>
        <v>0</v>
      </c>
      <c r="H10" s="107">
        <f>IF(H$6&lt;=Inicio!$D$13,+(G10*$C$26)+G10,0)</f>
        <v>0</v>
      </c>
      <c r="I10" s="107">
        <f>IF(I$6&lt;=Inicio!$D$13,+(H10*$C$26)+H10,0)</f>
        <v>0</v>
      </c>
      <c r="J10" s="107">
        <f>IF(J$6&lt;=Inicio!$D$13,+(I10*$C$26)+I10,0)</f>
        <v>0</v>
      </c>
      <c r="K10" s="107">
        <f>IF(K$6&lt;=Inicio!$D$13,+(J10*$C$26)+J10,0)</f>
        <v>0</v>
      </c>
      <c r="L10" s="107">
        <f>IF(L$6&lt;=Inicio!$D$13,+(K10*$C$26)+K10,0)</f>
        <v>0</v>
      </c>
      <c r="M10" s="107">
        <f>IF(M$6&lt;=Inicio!$D$13,+(L10*$C$26)+L10,0)</f>
        <v>0</v>
      </c>
      <c r="N10" s="107">
        <f>IF(N$6&lt;=Inicio!$D$13,+(M10*$C$26)+M10,0)</f>
        <v>0</v>
      </c>
      <c r="O10" s="107">
        <f>IF(O$6&lt;=Inicio!$D$13,+(N10*$C$26)+N10,0)</f>
        <v>0</v>
      </c>
      <c r="P10" s="107">
        <f>IF(P$6&lt;=Inicio!$D$13,+(O10*$C$26)+O10,0)</f>
        <v>0</v>
      </c>
      <c r="Q10" s="107">
        <f>IF(Q$6&lt;=Inicio!$D$13,+(P10*$C$26)+P10,0)</f>
        <v>0</v>
      </c>
      <c r="R10" s="152"/>
    </row>
    <row r="11" spans="2:18" ht="16.5" hidden="1" thickTop="1" thickBot="1" x14ac:dyDescent="0.3">
      <c r="B11" s="107" t="s">
        <v>164</v>
      </c>
      <c r="C11" s="107">
        <f>IF(Inicio!$F$13="Años",(Inicio!D155*12),Inicio!D155)</f>
        <v>12960000</v>
      </c>
      <c r="D11" s="107">
        <f>IF(D$6&lt;=Inicio!$D$13,+(C11*$C$26)+C11,0)</f>
        <v>13348800</v>
      </c>
      <c r="E11" s="107">
        <f>IF(E$6&lt;=Inicio!$D$13,+(D11*$C$26)+D11,0)</f>
        <v>13749264</v>
      </c>
      <c r="F11" s="107">
        <f>IF(F$6&lt;=Inicio!$D$13,+(E11*$C$26)+E11,0)</f>
        <v>0</v>
      </c>
      <c r="G11" s="107">
        <f>IF(G$6&lt;=Inicio!$D$13,+(F11*$C$26)+F11,0)</f>
        <v>0</v>
      </c>
      <c r="H11" s="107">
        <f>IF(H$6&lt;=Inicio!$D$13,+(G11*$C$26)+G11,0)</f>
        <v>0</v>
      </c>
      <c r="I11" s="107">
        <f>IF(I$6&lt;=Inicio!$D$13,+(H11*$C$26)+H11,0)</f>
        <v>0</v>
      </c>
      <c r="J11" s="107">
        <f>IF(J$6&lt;=Inicio!$D$13,+(I11*$C$26)+I11,0)</f>
        <v>0</v>
      </c>
      <c r="K11" s="107">
        <f>IF(K$6&lt;=Inicio!$D$13,+(J11*$C$26)+J11,0)</f>
        <v>0</v>
      </c>
      <c r="L11" s="107">
        <f>IF(L$6&lt;=Inicio!$D$13,+(K11*$C$26)+K11,0)</f>
        <v>0</v>
      </c>
      <c r="M11" s="107">
        <f>IF(M$6&lt;=Inicio!$D$13,+(L11*$C$26)+L11,0)</f>
        <v>0</v>
      </c>
      <c r="N11" s="107">
        <f>IF(N$6&lt;=Inicio!$D$13,+(M11*$C$26)+M11,0)</f>
        <v>0</v>
      </c>
      <c r="O11" s="107">
        <f>IF(O$6&lt;=Inicio!$D$13,+(N11*$C$26)+N11,0)</f>
        <v>0</v>
      </c>
      <c r="P11" s="107">
        <f>IF(P$6&lt;=Inicio!$D$13,+(O11*$C$26)+O11,0)</f>
        <v>0</v>
      </c>
      <c r="Q11" s="107">
        <f>IF(Q$6&lt;=Inicio!$D$13,+(P11*$C$26)+P11,0)</f>
        <v>0</v>
      </c>
      <c r="R11" s="152"/>
    </row>
    <row r="12" spans="2:18" ht="16.5" hidden="1" thickTop="1" thickBot="1" x14ac:dyDescent="0.3">
      <c r="B12" s="107" t="s">
        <v>165</v>
      </c>
      <c r="C12" s="107">
        <f>IF(Inicio!$F$13="Años",(Inicio!D156*12),Inicio!D156)</f>
        <v>31200000</v>
      </c>
      <c r="D12" s="107">
        <f>IF(D$6&lt;=Inicio!$D$13,+(C12*$C$26)+C12,0)</f>
        <v>32136000</v>
      </c>
      <c r="E12" s="107">
        <f>IF(E$6&lt;=Inicio!$D$13,+(D12*$C$26)+D12,0)</f>
        <v>33100080</v>
      </c>
      <c r="F12" s="107">
        <f>IF(F$6&lt;=Inicio!$D$13,+(E12*$C$26)+E12,0)</f>
        <v>0</v>
      </c>
      <c r="G12" s="107">
        <f>IF(G$6&lt;=Inicio!$D$13,+(F12*$C$26)+F12,0)</f>
        <v>0</v>
      </c>
      <c r="H12" s="107">
        <f>IF(H$6&lt;=Inicio!$D$13,+(G12*$C$26)+G12,0)</f>
        <v>0</v>
      </c>
      <c r="I12" s="107">
        <f>IF(I$6&lt;=Inicio!$D$13,+(H12*$C$26)+H12,0)</f>
        <v>0</v>
      </c>
      <c r="J12" s="107">
        <f>IF(J$6&lt;=Inicio!$D$13,+(I12*$C$26)+I12,0)</f>
        <v>0</v>
      </c>
      <c r="K12" s="107">
        <f>IF(K$6&lt;=Inicio!$D$13,+(J12*$C$26)+J12,0)</f>
        <v>0</v>
      </c>
      <c r="L12" s="107">
        <f>IF(L$6&lt;=Inicio!$D$13,+(K12*$C$26)+K12,0)</f>
        <v>0</v>
      </c>
      <c r="M12" s="107">
        <f>IF(M$6&lt;=Inicio!$D$13,+(L12*$C$26)+L12,0)</f>
        <v>0</v>
      </c>
      <c r="N12" s="107">
        <f>IF(N$6&lt;=Inicio!$D$13,+(M12*$C$26)+M12,0)</f>
        <v>0</v>
      </c>
      <c r="O12" s="107">
        <f>IF(O$6&lt;=Inicio!$D$13,+(N12*$C$26)+N12,0)</f>
        <v>0</v>
      </c>
      <c r="P12" s="107">
        <f>IF(P$6&lt;=Inicio!$D$13,+(O12*$C$26)+O12,0)</f>
        <v>0</v>
      </c>
      <c r="Q12" s="107">
        <f>IF(Q$6&lt;=Inicio!$D$13,+(P12*$C$26)+P12,0)</f>
        <v>0</v>
      </c>
      <c r="R12" s="152"/>
    </row>
    <row r="13" spans="2:18" ht="16.5" hidden="1" thickTop="1" thickBot="1" x14ac:dyDescent="0.3">
      <c r="B13" s="107" t="s">
        <v>120</v>
      </c>
      <c r="C13" s="107">
        <f>IF(Inicio!$F$13="Años",(Inicio!D157*12),Inicio!D157)</f>
        <v>0</v>
      </c>
      <c r="D13" s="107">
        <f>IF(D$6&lt;=Inicio!$D$13,+(C13*$C$26)+C13,0)</f>
        <v>0</v>
      </c>
      <c r="E13" s="107">
        <f>IF(E$6&lt;=Inicio!$D$13,+(D13*$C$26)+D13,0)</f>
        <v>0</v>
      </c>
      <c r="F13" s="107">
        <f>IF(F$6&lt;=Inicio!$D$13,+(E13*$C$26)+E13,0)</f>
        <v>0</v>
      </c>
      <c r="G13" s="107">
        <f>IF(G$6&lt;=Inicio!$D$13,+(F13*$C$26)+F13,0)</f>
        <v>0</v>
      </c>
      <c r="H13" s="107">
        <f>IF(H$6&lt;=Inicio!$D$13,+(G13*$C$26)+G13,0)</f>
        <v>0</v>
      </c>
      <c r="I13" s="107">
        <f>IF(I$6&lt;=Inicio!$D$13,+(H13*$C$26)+H13,0)</f>
        <v>0</v>
      </c>
      <c r="J13" s="107">
        <f>IF(J$6&lt;=Inicio!$D$13,+(I13*$C$26)+I13,0)</f>
        <v>0</v>
      </c>
      <c r="K13" s="107">
        <f>IF(K$6&lt;=Inicio!$D$13,+(J13*$C$26)+J13,0)</f>
        <v>0</v>
      </c>
      <c r="L13" s="107">
        <f>IF(L$6&lt;=Inicio!$D$13,+(K13*$C$26)+K13,0)</f>
        <v>0</v>
      </c>
      <c r="M13" s="107">
        <f>IF(M$6&lt;=Inicio!$D$13,+(L13*$C$26)+L13,0)</f>
        <v>0</v>
      </c>
      <c r="N13" s="107">
        <f>IF(N$6&lt;=Inicio!$D$13,+(M13*$C$26)+M13,0)</f>
        <v>0</v>
      </c>
      <c r="O13" s="107">
        <f>IF(O$6&lt;=Inicio!$D$13,+(N13*$C$26)+N13,0)</f>
        <v>0</v>
      </c>
      <c r="P13" s="107">
        <f>IF(P$6&lt;=Inicio!$D$13,+(O13*$C$26)+O13,0)</f>
        <v>0</v>
      </c>
      <c r="Q13" s="107">
        <f>IF(Q$6&lt;=Inicio!$D$13,+(P13*$C$26)+P13,0)</f>
        <v>0</v>
      </c>
      <c r="R13" s="152"/>
    </row>
    <row r="14" spans="2:18" ht="16.5" hidden="1" thickTop="1" thickBot="1" x14ac:dyDescent="0.3">
      <c r="B14" s="107" t="s">
        <v>121</v>
      </c>
      <c r="C14" s="107">
        <f>IF(Inicio!$F$13="Años",(Inicio!D158*12),Inicio!D158)</f>
        <v>0</v>
      </c>
      <c r="D14" s="107">
        <f>IF(D$6&lt;=Inicio!$D$13,+(C14*$C$26)+C14,0)</f>
        <v>0</v>
      </c>
      <c r="E14" s="107">
        <f>IF(E$6&lt;=Inicio!$D$13,+(D14*$C$26)+D14,0)</f>
        <v>0</v>
      </c>
      <c r="F14" s="107">
        <f>IF(F$6&lt;=Inicio!$D$13,+(E14*$C$26)+E14,0)</f>
        <v>0</v>
      </c>
      <c r="G14" s="107">
        <f>IF(G$6&lt;=Inicio!$D$13,+(F14*$C$26)+F14,0)</f>
        <v>0</v>
      </c>
      <c r="H14" s="107">
        <f>IF(H$6&lt;=Inicio!$D$13,+(G14*$C$26)+G14,0)</f>
        <v>0</v>
      </c>
      <c r="I14" s="107">
        <f>IF(I$6&lt;=Inicio!$D$13,+(H14*$C$26)+H14,0)</f>
        <v>0</v>
      </c>
      <c r="J14" s="107">
        <f>IF(J$6&lt;=Inicio!$D$13,+(I14*$C$26)+I14,0)</f>
        <v>0</v>
      </c>
      <c r="K14" s="107">
        <f>IF(K$6&lt;=Inicio!$D$13,+(J14*$C$26)+J14,0)</f>
        <v>0</v>
      </c>
      <c r="L14" s="107">
        <f>IF(L$6&lt;=Inicio!$D$13,+(K14*$C$26)+K14,0)</f>
        <v>0</v>
      </c>
      <c r="M14" s="107">
        <f>IF(M$6&lt;=Inicio!$D$13,+(L14*$C$26)+L14,0)</f>
        <v>0</v>
      </c>
      <c r="N14" s="107">
        <f>IF(N$6&lt;=Inicio!$D$13,+(M14*$C$26)+M14,0)</f>
        <v>0</v>
      </c>
      <c r="O14" s="107">
        <f>IF(O$6&lt;=Inicio!$D$13,+(N14*$C$26)+N14,0)</f>
        <v>0</v>
      </c>
      <c r="P14" s="107">
        <f>IF(P$6&lt;=Inicio!$D$13,+(O14*$C$26)+O14,0)</f>
        <v>0</v>
      </c>
      <c r="Q14" s="107">
        <f>IF(Q$6&lt;=Inicio!$D$13,+(P14*$C$26)+P14,0)</f>
        <v>0</v>
      </c>
      <c r="R14" s="152"/>
    </row>
    <row r="15" spans="2:18" ht="16.5" hidden="1" thickTop="1" thickBot="1" x14ac:dyDescent="0.3">
      <c r="B15" s="107" t="s">
        <v>243</v>
      </c>
      <c r="C15" s="107">
        <f>IF(Inicio!$F$13="Años",(Inicio!D159*12),Inicio!D159)</f>
        <v>0</v>
      </c>
      <c r="D15" s="107">
        <f>IF(D$6&lt;=Inicio!$D$13,+(C15*$C$26)+C15,0)</f>
        <v>0</v>
      </c>
      <c r="E15" s="107">
        <f>IF(E$6&lt;=Inicio!$D$13,+(D15*$C$26)+D15,0)</f>
        <v>0</v>
      </c>
      <c r="F15" s="107">
        <f>IF(F$6&lt;=Inicio!$D$13,+(E15*$C$26)+E15,0)</f>
        <v>0</v>
      </c>
      <c r="G15" s="107">
        <f>IF(G$6&lt;=Inicio!$D$13,+(F15*$C$26)+F15,0)</f>
        <v>0</v>
      </c>
      <c r="H15" s="107">
        <f>IF(H$6&lt;=Inicio!$D$13,+(G15*$C$26)+G15,0)</f>
        <v>0</v>
      </c>
      <c r="I15" s="107">
        <f>IF(I$6&lt;=Inicio!$D$13,+(H15*$C$26)+H15,0)</f>
        <v>0</v>
      </c>
      <c r="J15" s="107">
        <f>IF(J$6&lt;=Inicio!$D$13,+(I15*$C$26)+I15,0)</f>
        <v>0</v>
      </c>
      <c r="K15" s="107">
        <f>IF(K$6&lt;=Inicio!$D$13,+(J15*$C$26)+J15,0)</f>
        <v>0</v>
      </c>
      <c r="L15" s="107">
        <f>IF(L$6&lt;=Inicio!$D$13,+(K15*$C$26)+K15,0)</f>
        <v>0</v>
      </c>
      <c r="M15" s="107">
        <f>IF(M$6&lt;=Inicio!$D$13,+(L15*$C$26)+L15,0)</f>
        <v>0</v>
      </c>
      <c r="N15" s="107">
        <f>IF(N$6&lt;=Inicio!$D$13,+(M15*$C$26)+M15,0)</f>
        <v>0</v>
      </c>
      <c r="O15" s="107">
        <f>IF(O$6&lt;=Inicio!$D$13,+(N15*$C$26)+N15,0)</f>
        <v>0</v>
      </c>
      <c r="P15" s="107">
        <f>IF(P$6&lt;=Inicio!$D$13,+(O15*$C$26)+O15,0)</f>
        <v>0</v>
      </c>
      <c r="Q15" s="107">
        <f>IF(Q$6&lt;=Inicio!$D$13,+(P15*$C$26)+P15,0)</f>
        <v>0</v>
      </c>
      <c r="R15" s="152"/>
    </row>
    <row r="16" spans="2:18" ht="16.5" hidden="1" thickTop="1" thickBot="1" x14ac:dyDescent="0.3">
      <c r="B16" s="107" t="s">
        <v>244</v>
      </c>
      <c r="C16" s="107">
        <f>IF(Inicio!$F$13="Años",(Inicio!D160*12),Inicio!D160)</f>
        <v>0</v>
      </c>
      <c r="D16" s="107">
        <f>IF(D$6&lt;=Inicio!$D$13,+(C16*$C$26)+C16,0)</f>
        <v>0</v>
      </c>
      <c r="E16" s="107">
        <f>IF(E$6&lt;=Inicio!$D$13,+(D16*$C$26)+D16,0)</f>
        <v>0</v>
      </c>
      <c r="F16" s="107">
        <f>IF(F$6&lt;=Inicio!$D$13,+(E16*$C$26)+E16,0)</f>
        <v>0</v>
      </c>
      <c r="G16" s="107">
        <f>IF(G$6&lt;=Inicio!$D$13,+(F16*$C$26)+F16,0)</f>
        <v>0</v>
      </c>
      <c r="H16" s="107">
        <f>IF(H$6&lt;=Inicio!$D$13,+(G16*$C$26)+G16,0)</f>
        <v>0</v>
      </c>
      <c r="I16" s="107">
        <f>IF(I$6&lt;=Inicio!$D$13,+(H16*$C$26)+H16,0)</f>
        <v>0</v>
      </c>
      <c r="J16" s="107">
        <f>IF(J$6&lt;=Inicio!$D$13,+(I16*$C$26)+I16,0)</f>
        <v>0</v>
      </c>
      <c r="K16" s="107">
        <f>IF(K$6&lt;=Inicio!$D$13,+(J16*$C$26)+J16,0)</f>
        <v>0</v>
      </c>
      <c r="L16" s="107">
        <f>IF(L$6&lt;=Inicio!$D$13,+(K16*$C$26)+K16,0)</f>
        <v>0</v>
      </c>
      <c r="M16" s="107">
        <f>IF(M$6&lt;=Inicio!$D$13,+(L16*$C$26)+L16,0)</f>
        <v>0</v>
      </c>
      <c r="N16" s="107">
        <f>IF(N$6&lt;=Inicio!$D$13,+(M16*$C$26)+M16,0)</f>
        <v>0</v>
      </c>
      <c r="O16" s="107">
        <f>IF(O$6&lt;=Inicio!$D$13,+(N16*$C$26)+N16,0)</f>
        <v>0</v>
      </c>
      <c r="P16" s="107">
        <f>IF(P$6&lt;=Inicio!$D$13,+(O16*$C$26)+O16,0)</f>
        <v>0</v>
      </c>
      <c r="Q16" s="107">
        <f>IF(Q$6&lt;=Inicio!$D$13,+(P16*$C$26)+P16,0)</f>
        <v>0</v>
      </c>
      <c r="R16" s="152"/>
    </row>
    <row r="17" spans="2:18" ht="16.5" hidden="1" thickTop="1" thickBot="1" x14ac:dyDescent="0.3">
      <c r="B17" s="107" t="s">
        <v>245</v>
      </c>
      <c r="C17" s="107">
        <f>IF(Inicio!$F$13="Años",(Inicio!D161*12),Inicio!D161)</f>
        <v>0</v>
      </c>
      <c r="D17" s="107">
        <f>IF(D$6&lt;=Inicio!$D$13,+(C17*$C$26)+C17,0)</f>
        <v>0</v>
      </c>
      <c r="E17" s="107">
        <f>IF(E$6&lt;=Inicio!$D$13,+(D17*$C$26)+D17,0)</f>
        <v>0</v>
      </c>
      <c r="F17" s="107">
        <f>IF(F$6&lt;=Inicio!$D$13,+(E17*$C$26)+E17,0)</f>
        <v>0</v>
      </c>
      <c r="G17" s="107">
        <f>IF(G$6&lt;=Inicio!$D$13,+(F17*$C$26)+F17,0)</f>
        <v>0</v>
      </c>
      <c r="H17" s="107">
        <f>IF(H$6&lt;=Inicio!$D$13,+(G17*$C$26)+G17,0)</f>
        <v>0</v>
      </c>
      <c r="I17" s="107">
        <f>IF(I$6&lt;=Inicio!$D$13,+(H17*$C$26)+H17,0)</f>
        <v>0</v>
      </c>
      <c r="J17" s="107">
        <f>IF(J$6&lt;=Inicio!$D$13,+(I17*$C$26)+I17,0)</f>
        <v>0</v>
      </c>
      <c r="K17" s="107">
        <f>IF(K$6&lt;=Inicio!$D$13,+(J17*$C$26)+J17,0)</f>
        <v>0</v>
      </c>
      <c r="L17" s="107">
        <f>IF(L$6&lt;=Inicio!$D$13,+(K17*$C$26)+K17,0)</f>
        <v>0</v>
      </c>
      <c r="M17" s="107">
        <f>IF(M$6&lt;=Inicio!$D$13,+(L17*$C$26)+L17,0)</f>
        <v>0</v>
      </c>
      <c r="N17" s="107">
        <f>IF(N$6&lt;=Inicio!$D$13,+(M17*$C$26)+M17,0)</f>
        <v>0</v>
      </c>
      <c r="O17" s="107">
        <f>IF(O$6&lt;=Inicio!$D$13,+(N17*$C$26)+N17,0)</f>
        <v>0</v>
      </c>
      <c r="P17" s="107">
        <f>IF(P$6&lt;=Inicio!$D$13,+(O17*$C$26)+O17,0)</f>
        <v>0</v>
      </c>
      <c r="Q17" s="107">
        <f>IF(Q$6&lt;=Inicio!$D$13,+(P17*$C$26)+P17,0)</f>
        <v>0</v>
      </c>
      <c r="R17" s="152"/>
    </row>
    <row r="18" spans="2:18" ht="16.5" hidden="1" thickTop="1" thickBot="1" x14ac:dyDescent="0.3">
      <c r="B18" s="107" t="s">
        <v>246</v>
      </c>
      <c r="C18" s="107">
        <f>IF(Inicio!$F$13="Años",(Inicio!D162*12),Inicio!D162)</f>
        <v>0</v>
      </c>
      <c r="D18" s="107">
        <f>IF(D$6&lt;=Inicio!$D$13,+(C18*$C$26)+C18,0)</f>
        <v>0</v>
      </c>
      <c r="E18" s="107">
        <f>IF(E$6&lt;=Inicio!$D$13,+(D18*$C$26)+D18,0)</f>
        <v>0</v>
      </c>
      <c r="F18" s="107">
        <f>IF(F$6&lt;=Inicio!$D$13,+(E18*$C$26)+E18,0)</f>
        <v>0</v>
      </c>
      <c r="G18" s="107">
        <f>IF(G$6&lt;=Inicio!$D$13,+(F18*$C$26)+F18,0)</f>
        <v>0</v>
      </c>
      <c r="H18" s="107">
        <f>IF(H$6&lt;=Inicio!$D$13,+(G18*$C$26)+G18,0)</f>
        <v>0</v>
      </c>
      <c r="I18" s="107">
        <f>IF(I$6&lt;=Inicio!$D$13,+(H18*$C$26)+H18,0)</f>
        <v>0</v>
      </c>
      <c r="J18" s="107">
        <f>IF(J$6&lt;=Inicio!$D$13,+(I18*$C$26)+I18,0)</f>
        <v>0</v>
      </c>
      <c r="K18" s="107">
        <f>IF(K$6&lt;=Inicio!$D$13,+(J18*$C$26)+J18,0)</f>
        <v>0</v>
      </c>
      <c r="L18" s="107">
        <f>IF(L$6&lt;=Inicio!$D$13,+(K18*$C$26)+K18,0)</f>
        <v>0</v>
      </c>
      <c r="M18" s="107">
        <f>IF(M$6&lt;=Inicio!$D$13,+(L18*$C$26)+L18,0)</f>
        <v>0</v>
      </c>
      <c r="N18" s="107">
        <f>IF(N$6&lt;=Inicio!$D$13,+(M18*$C$26)+M18,0)</f>
        <v>0</v>
      </c>
      <c r="O18" s="107">
        <f>IF(O$6&lt;=Inicio!$D$13,+(N18*$C$26)+N18,0)</f>
        <v>0</v>
      </c>
      <c r="P18" s="107">
        <f>IF(P$6&lt;=Inicio!$D$13,+(O18*$C$26)+O18,0)</f>
        <v>0</v>
      </c>
      <c r="Q18" s="107">
        <f>IF(Q$6&lt;=Inicio!$D$13,+(P18*$C$26)+P18,0)</f>
        <v>0</v>
      </c>
      <c r="R18" s="152"/>
    </row>
    <row r="19" spans="2:18" ht="16.5" hidden="1" thickTop="1" thickBot="1" x14ac:dyDescent="0.3">
      <c r="B19" s="107" t="s">
        <v>247</v>
      </c>
      <c r="C19" s="107">
        <f>IF(Inicio!$F$13="Años",(Inicio!D163*12),Inicio!D163)</f>
        <v>0</v>
      </c>
      <c r="D19" s="107">
        <f>IF(D$6&lt;=Inicio!$D$13,+(C19*$C$26)+C19,0)</f>
        <v>0</v>
      </c>
      <c r="E19" s="107">
        <f>IF(E$6&lt;=Inicio!$D$13,+(D19*$C$26)+D19,0)</f>
        <v>0</v>
      </c>
      <c r="F19" s="107">
        <f>IF(F$6&lt;=Inicio!$D$13,+(E19*$C$26)+E19,0)</f>
        <v>0</v>
      </c>
      <c r="G19" s="107">
        <f>IF(G$6&lt;=Inicio!$D$13,+(F19*$C$26)+F19,0)</f>
        <v>0</v>
      </c>
      <c r="H19" s="107">
        <f>IF(H$6&lt;=Inicio!$D$13,+(G19*$C$26)+G19,0)</f>
        <v>0</v>
      </c>
      <c r="I19" s="107">
        <f>IF(I$6&lt;=Inicio!$D$13,+(H19*$C$26)+H19,0)</f>
        <v>0</v>
      </c>
      <c r="J19" s="107">
        <f>IF(J$6&lt;=Inicio!$D$13,+(I19*$C$26)+I19,0)</f>
        <v>0</v>
      </c>
      <c r="K19" s="107">
        <f>IF(K$6&lt;=Inicio!$D$13,+(J19*$C$26)+J19,0)</f>
        <v>0</v>
      </c>
      <c r="L19" s="107">
        <f>IF(L$6&lt;=Inicio!$D$13,+(K19*$C$26)+K19,0)</f>
        <v>0</v>
      </c>
      <c r="M19" s="107">
        <f>IF(M$6&lt;=Inicio!$D$13,+(L19*$C$26)+L19,0)</f>
        <v>0</v>
      </c>
      <c r="N19" s="107">
        <f>IF(N$6&lt;=Inicio!$D$13,+(M19*$C$26)+M19,0)</f>
        <v>0</v>
      </c>
      <c r="O19" s="107">
        <f>IF(O$6&lt;=Inicio!$D$13,+(N19*$C$26)+N19,0)</f>
        <v>0</v>
      </c>
      <c r="P19" s="107">
        <f>IF(P$6&lt;=Inicio!$D$13,+(O19*$C$26)+O19,0)</f>
        <v>0</v>
      </c>
      <c r="Q19" s="107">
        <f>IF(Q$6&lt;=Inicio!$D$13,+(P19*$C$26)+P19,0)</f>
        <v>0</v>
      </c>
      <c r="R19" s="152"/>
    </row>
    <row r="20" spans="2:18" ht="16.5" hidden="1" thickTop="1" thickBot="1" x14ac:dyDescent="0.3">
      <c r="B20" s="107" t="s">
        <v>248</v>
      </c>
      <c r="C20" s="107">
        <f>IF(Inicio!$F$13="Años",(Inicio!D164*12),Inicio!D164)</f>
        <v>0</v>
      </c>
      <c r="D20" s="107">
        <f>IF(D$6&lt;=Inicio!$D$13,+(C20*$C$26)+C20,0)</f>
        <v>0</v>
      </c>
      <c r="E20" s="107">
        <f>IF(E$6&lt;=Inicio!$D$13,+(D20*$C$26)+D20,0)</f>
        <v>0</v>
      </c>
      <c r="F20" s="107">
        <f>IF(F$6&lt;=Inicio!$D$13,+(E20*$C$26)+E20,0)</f>
        <v>0</v>
      </c>
      <c r="G20" s="107">
        <f>IF(G$6&lt;=Inicio!$D$13,+(F20*$C$26)+F20,0)</f>
        <v>0</v>
      </c>
      <c r="H20" s="107">
        <f>IF(H$6&lt;=Inicio!$D$13,+(G20*$C$26)+G20,0)</f>
        <v>0</v>
      </c>
      <c r="I20" s="107">
        <f>IF(I$6&lt;=Inicio!$D$13,+(H20*$C$26)+H20,0)</f>
        <v>0</v>
      </c>
      <c r="J20" s="107">
        <f>IF(J$6&lt;=Inicio!$D$13,+(I20*$C$26)+I20,0)</f>
        <v>0</v>
      </c>
      <c r="K20" s="107">
        <f>IF(K$6&lt;=Inicio!$D$13,+(J20*$C$26)+J20,0)</f>
        <v>0</v>
      </c>
      <c r="L20" s="107">
        <f>IF(L$6&lt;=Inicio!$D$13,+(K20*$C$26)+K20,0)</f>
        <v>0</v>
      </c>
      <c r="M20" s="107">
        <f>IF(M$6&lt;=Inicio!$D$13,+(L20*$C$26)+L20,0)</f>
        <v>0</v>
      </c>
      <c r="N20" s="107">
        <f>IF(N$6&lt;=Inicio!$D$13,+(M20*$C$26)+M20,0)</f>
        <v>0</v>
      </c>
      <c r="O20" s="107">
        <f>IF(O$6&lt;=Inicio!$D$13,+(N20*$C$26)+N20,0)</f>
        <v>0</v>
      </c>
      <c r="P20" s="107">
        <f>IF(P$6&lt;=Inicio!$D$13,+(O20*$C$26)+O20,0)</f>
        <v>0</v>
      </c>
      <c r="Q20" s="107">
        <f>IF(Q$6&lt;=Inicio!$D$13,+(P20*$C$26)+P20,0)</f>
        <v>0</v>
      </c>
      <c r="R20" s="152"/>
    </row>
    <row r="21" spans="2:18" ht="16.5" hidden="1" thickTop="1" thickBot="1" x14ac:dyDescent="0.3">
      <c r="B21" s="107" t="s">
        <v>249</v>
      </c>
      <c r="C21" s="107">
        <f>(+$C$25*'presupuesto compras y ventas'!C47)+($E$25*'presupuesto compras y ventas'!C46)</f>
        <v>0</v>
      </c>
      <c r="D21" s="107">
        <f>IF(D$6&lt;=Inicio!$D$13,+('presupuesto compras y ventas'!D47*$C$25)+($E$25*'presupuesto compras y ventas'!D46),0)</f>
        <v>0</v>
      </c>
      <c r="E21" s="107">
        <f>IF(E$6&lt;=Inicio!$D$13,+('presupuesto compras y ventas'!E47*$C$25)+($E$25*'presupuesto compras y ventas'!E46),0)</f>
        <v>0</v>
      </c>
      <c r="F21" s="107">
        <f>IF(F$6&lt;=Inicio!$D$13,+('presupuesto compras y ventas'!F47*$C$25)+($E$25*'presupuesto compras y ventas'!F46),0)</f>
        <v>0</v>
      </c>
      <c r="G21" s="107">
        <f>IF(G$6&lt;=Inicio!$D$13,+('presupuesto compras y ventas'!G47*$C$25)+($E$25*'presupuesto compras y ventas'!G46),0)</f>
        <v>0</v>
      </c>
      <c r="H21" s="107">
        <f>IF(H$6&lt;=Inicio!$D$13,+('presupuesto compras y ventas'!H47*$C$25)+($E$25*'presupuesto compras y ventas'!H46),0)</f>
        <v>0</v>
      </c>
      <c r="I21" s="107">
        <f>IF(I$6&lt;=Inicio!$D$13,+('presupuesto compras y ventas'!I47*$C$25)+($E$25*'presupuesto compras y ventas'!I46),0)</f>
        <v>0</v>
      </c>
      <c r="J21" s="107">
        <f>IF(J$6&lt;=Inicio!$D$13,+('presupuesto compras y ventas'!J47*$C$25)+($E$25*'presupuesto compras y ventas'!J46),0)</f>
        <v>0</v>
      </c>
      <c r="K21" s="107">
        <f>IF(K$6&lt;=Inicio!$D$13,+('presupuesto compras y ventas'!K47*$C$25)+($E$25*'presupuesto compras y ventas'!K46),0)</f>
        <v>0</v>
      </c>
      <c r="L21" s="107">
        <f>IF(L$6&lt;=Inicio!$D$13,+('presupuesto compras y ventas'!L47*$C$25)+($E$25*'presupuesto compras y ventas'!L46),0)</f>
        <v>0</v>
      </c>
      <c r="M21" s="107">
        <f>IF(M$6&lt;=Inicio!$D$13,+('presupuesto compras y ventas'!M47*$C$25)+($E$25*'presupuesto compras y ventas'!M46),0)</f>
        <v>0</v>
      </c>
      <c r="N21" s="107">
        <f>IF(N$6&lt;=Inicio!$D$13,+('presupuesto compras y ventas'!N47*$C$25)+($E$25*'presupuesto compras y ventas'!N46),0)</f>
        <v>0</v>
      </c>
      <c r="O21" s="107">
        <f>IF(O$6&lt;=Inicio!$D$13,+('presupuesto compras y ventas'!O47*$C$25)+($E$25*'presupuesto compras y ventas'!O46),0)</f>
        <v>0</v>
      </c>
      <c r="P21" s="107">
        <f>IF(P$6&lt;=Inicio!$D$13,+('presupuesto compras y ventas'!P47*$C$25)+($E$25*'presupuesto compras y ventas'!P46),0)</f>
        <v>0</v>
      </c>
      <c r="Q21" s="107">
        <f>IF(Q$6&lt;=Inicio!$D$13,+('presupuesto compras y ventas'!Q47*$C$25)+($E$25*'presupuesto compras y ventas'!Q46),0)</f>
        <v>0</v>
      </c>
      <c r="R21" s="152"/>
    </row>
    <row r="22" spans="2:18" ht="16.5" hidden="1" thickTop="1" thickBot="1" x14ac:dyDescent="0.3">
      <c r="B22" s="107" t="s">
        <v>48</v>
      </c>
      <c r="C22" s="107">
        <f>IF(Inicio!$F$13="Años",(Inicio!D166*12),Inicio!D166)</f>
        <v>0</v>
      </c>
      <c r="D22" s="107">
        <f>IF(D$6&lt;=Inicio!$D$13,+(C22*$C$26)+C22,0)</f>
        <v>0</v>
      </c>
      <c r="E22" s="107">
        <f>IF(E$6&lt;=Inicio!$D$13,+(D22*$C$26)+D22,0)</f>
        <v>0</v>
      </c>
      <c r="F22" s="107">
        <f>IF(F$6&lt;=Inicio!$D$13,+(E22*$C$26)+E22,0)</f>
        <v>0</v>
      </c>
      <c r="G22" s="107">
        <f>IF(G$6&lt;=Inicio!$D$13,+(F22*$C$26)+F22,0)</f>
        <v>0</v>
      </c>
      <c r="H22" s="107">
        <f>IF(H$6&lt;=Inicio!$D$13,+(G22*$C$26)+G22,0)</f>
        <v>0</v>
      </c>
      <c r="I22" s="107">
        <f>IF(I$6&lt;=Inicio!$D$13,+(H22*$C$26)+H22,0)</f>
        <v>0</v>
      </c>
      <c r="J22" s="107">
        <f>IF(J$6&lt;=Inicio!$D$13,+(I22*$C$26)+I22,0)</f>
        <v>0</v>
      </c>
      <c r="K22" s="107">
        <f>IF(K$6&lt;=Inicio!$D$13,+(J22*$C$26)+J22,0)</f>
        <v>0</v>
      </c>
      <c r="L22" s="107">
        <f>IF(L$6&lt;=Inicio!$D$13,+(K22*$C$26)+K22,0)</f>
        <v>0</v>
      </c>
      <c r="M22" s="107">
        <f>IF(M$6&lt;=Inicio!$D$13,+(L22*$C$26)+L22,0)</f>
        <v>0</v>
      </c>
      <c r="N22" s="107">
        <f>IF(N$6&lt;=Inicio!$D$13,+(M22*$C$26)+M22,0)</f>
        <v>0</v>
      </c>
      <c r="O22" s="107">
        <f>IF(O$6&lt;=Inicio!$D$13,+(N22*$C$26)+N22,0)</f>
        <v>0</v>
      </c>
      <c r="P22" s="107">
        <f>IF(P$6&lt;=Inicio!$D$13,+(O22*$C$26)+O22,0)</f>
        <v>0</v>
      </c>
      <c r="Q22" s="107">
        <f>IF(Q$6&lt;=Inicio!$D$13,+(P22*$C$26)+P22,0)</f>
        <v>0</v>
      </c>
      <c r="R22" s="152"/>
    </row>
    <row r="23" spans="2:18" ht="16.5" hidden="1" thickTop="1" thickBot="1" x14ac:dyDescent="0.3">
      <c r="B23" s="107" t="s">
        <v>66</v>
      </c>
      <c r="C23" s="107">
        <f>IF(Inicio!$F$13="Años",(Inicio!D167*12),Inicio!D167)</f>
        <v>0</v>
      </c>
      <c r="D23" s="107">
        <f>IF(D$6&lt;=Inicio!$D$13,+(C23*$C$26)+C23,0)</f>
        <v>0</v>
      </c>
      <c r="E23" s="107">
        <f>IF(E$6&lt;=Inicio!$D$13,+(D23*$C$26)+D23,0)</f>
        <v>0</v>
      </c>
      <c r="F23" s="107">
        <f>IF(F$6&lt;=Inicio!$D$13,+(E23*$C$26)+E23,0)</f>
        <v>0</v>
      </c>
      <c r="G23" s="107">
        <f>IF(G$6&lt;=Inicio!$D$13,+(F23*$C$26)+F23,0)</f>
        <v>0</v>
      </c>
      <c r="H23" s="107">
        <f>IF(H$6&lt;=Inicio!$D$13,+(G23*$C$26)+G23,0)</f>
        <v>0</v>
      </c>
      <c r="I23" s="107">
        <f>IF(I$6&lt;=Inicio!$D$13,+(H23*$C$26)+H23,0)</f>
        <v>0</v>
      </c>
      <c r="J23" s="107">
        <f>IF(J$6&lt;=Inicio!$D$13,+(I23*$C$26)+I23,0)</f>
        <v>0</v>
      </c>
      <c r="K23" s="107">
        <f>IF(K$6&lt;=Inicio!$D$13,+(J23*$C$26)+J23,0)</f>
        <v>0</v>
      </c>
      <c r="L23" s="107">
        <f>IF(L$6&lt;=Inicio!$D$13,+(K23*$C$26)+K23,0)</f>
        <v>0</v>
      </c>
      <c r="M23" s="107">
        <f>IF(M$6&lt;=Inicio!$D$13,+(L23*$C$26)+L23,0)</f>
        <v>0</v>
      </c>
      <c r="N23" s="107">
        <f>IF(N$6&lt;=Inicio!$D$13,+(M23*$C$26)+M23,0)</f>
        <v>0</v>
      </c>
      <c r="O23" s="107">
        <f>IF(O$6&lt;=Inicio!$D$13,+(N23*$C$26)+N23,0)</f>
        <v>0</v>
      </c>
      <c r="P23" s="107">
        <f>IF(P$6&lt;=Inicio!$D$13,+(O23*$C$26)+O23,0)</f>
        <v>0</v>
      </c>
      <c r="Q23" s="107">
        <f>IF(Q$6&lt;=Inicio!$D$13,+(P23*$C$26)+P23,0)</f>
        <v>0</v>
      </c>
      <c r="R23" s="152"/>
    </row>
    <row r="24" spans="2:18" ht="16.5" thickTop="1" thickBot="1" x14ac:dyDescent="0.3">
      <c r="B24" s="154" t="s">
        <v>59</v>
      </c>
      <c r="C24" s="155">
        <f>SUM(C7:C23)</f>
        <v>93960000</v>
      </c>
      <c r="D24" s="155">
        <f t="shared" ref="D24:Q24" si="0">SUM(D7:D23)</f>
        <v>96778800</v>
      </c>
      <c r="E24" s="155">
        <f t="shared" si="0"/>
        <v>99682164</v>
      </c>
      <c r="F24" s="155">
        <f t="shared" si="0"/>
        <v>0</v>
      </c>
      <c r="G24" s="155">
        <f t="shared" si="0"/>
        <v>0</v>
      </c>
      <c r="H24" s="155">
        <f t="shared" si="0"/>
        <v>0</v>
      </c>
      <c r="I24" s="155">
        <f t="shared" si="0"/>
        <v>0</v>
      </c>
      <c r="J24" s="155">
        <f t="shared" si="0"/>
        <v>0</v>
      </c>
      <c r="K24" s="155">
        <f t="shared" si="0"/>
        <v>0</v>
      </c>
      <c r="L24" s="155">
        <f t="shared" si="0"/>
        <v>0</v>
      </c>
      <c r="M24" s="155">
        <f t="shared" si="0"/>
        <v>0</v>
      </c>
      <c r="N24" s="155">
        <f t="shared" si="0"/>
        <v>0</v>
      </c>
      <c r="O24" s="155">
        <f t="shared" si="0"/>
        <v>0</v>
      </c>
      <c r="P24" s="155">
        <f t="shared" si="0"/>
        <v>0</v>
      </c>
      <c r="Q24" s="155">
        <f t="shared" si="0"/>
        <v>0</v>
      </c>
      <c r="R24" s="88"/>
    </row>
    <row r="25" spans="2:18" ht="13.5" thickTop="1" x14ac:dyDescent="0.2">
      <c r="B25" s="156" t="s">
        <v>250</v>
      </c>
      <c r="C25" s="157">
        <f>Inicio!D165</f>
        <v>0</v>
      </c>
      <c r="D25" s="156" t="s">
        <v>251</v>
      </c>
      <c r="E25" s="157">
        <f>Inicio!D166</f>
        <v>0</v>
      </c>
      <c r="F25" s="156"/>
      <c r="G25" s="156"/>
      <c r="H25" s="156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  <row r="26" spans="2:18" ht="13.5" thickBot="1" x14ac:dyDescent="0.25">
      <c r="B26" s="156" t="s">
        <v>166</v>
      </c>
      <c r="C26" s="159">
        <f>Inicio!D148</f>
        <v>0.03</v>
      </c>
      <c r="D26" s="156"/>
      <c r="E26" s="156"/>
      <c r="F26" s="156"/>
      <c r="G26" s="156"/>
      <c r="H26" s="156"/>
      <c r="I26" s="158"/>
      <c r="J26" s="158"/>
      <c r="K26" s="158"/>
      <c r="L26" s="158"/>
      <c r="M26" s="158"/>
      <c r="N26" s="158"/>
      <c r="O26" s="158"/>
      <c r="P26" s="158"/>
      <c r="Q26" s="158"/>
      <c r="R26" s="158"/>
    </row>
    <row r="27" spans="2:18" ht="19.5" thickBot="1" x14ac:dyDescent="0.35">
      <c r="B27" s="308" t="s">
        <v>281</v>
      </c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10"/>
      <c r="R27" s="88"/>
    </row>
    <row r="28" spans="2:18" ht="15.75" thickBot="1" x14ac:dyDescent="0.3">
      <c r="B28" s="160" t="s">
        <v>68</v>
      </c>
      <c r="C28" s="160">
        <v>1</v>
      </c>
      <c r="D28" s="160">
        <v>2</v>
      </c>
      <c r="E28" s="160">
        <v>3</v>
      </c>
      <c r="F28" s="160">
        <v>4</v>
      </c>
      <c r="G28" s="160">
        <v>5</v>
      </c>
      <c r="H28" s="160">
        <v>6</v>
      </c>
      <c r="I28" s="160">
        <v>7</v>
      </c>
      <c r="J28" s="160">
        <v>8</v>
      </c>
      <c r="K28" s="160">
        <v>9</v>
      </c>
      <c r="L28" s="160">
        <v>10</v>
      </c>
      <c r="M28" s="160">
        <v>11</v>
      </c>
      <c r="N28" s="160">
        <v>12</v>
      </c>
      <c r="O28" s="160">
        <v>13</v>
      </c>
      <c r="P28" s="160">
        <v>14</v>
      </c>
      <c r="Q28" s="160">
        <v>15</v>
      </c>
      <c r="R28" s="88"/>
    </row>
    <row r="29" spans="2:18" ht="16.5" thickTop="1" thickBot="1" x14ac:dyDescent="0.3">
      <c r="B29" s="161">
        <f>+Inicio!E151</f>
        <v>0</v>
      </c>
      <c r="C29" s="161">
        <f>IF(Inicio!$F$13="Años",(Inicio!F151*12),Inicio!F151)</f>
        <v>0</v>
      </c>
      <c r="D29" s="161">
        <f>IF(D$6&lt;=Inicio!$D$13,+(C29*$C$26)+C29,0)</f>
        <v>0</v>
      </c>
      <c r="E29" s="161">
        <f>IF(E$6&lt;=Inicio!$D$13,+(D29*$C$26)+D29,0)</f>
        <v>0</v>
      </c>
      <c r="F29" s="161">
        <f>IF(F$6&lt;=Inicio!$D$13,+(E29*$C$26)+E29,0)</f>
        <v>0</v>
      </c>
      <c r="G29" s="161">
        <f>IF(G$6&lt;=Inicio!$D$13,+(F29*$C$26)+F29,0)</f>
        <v>0</v>
      </c>
      <c r="H29" s="161">
        <f>IF(H$6&lt;=Inicio!$D$13,+(G29*$C$26)+G29,0)</f>
        <v>0</v>
      </c>
      <c r="I29" s="161">
        <f>IF(I$6&lt;=Inicio!$D$13,+(H29*$C$26)+H29,0)</f>
        <v>0</v>
      </c>
      <c r="J29" s="161">
        <f>IF(J$6&lt;=Inicio!$D$13,+(I29*$C$26)+I29,0)</f>
        <v>0</v>
      </c>
      <c r="K29" s="161">
        <f>IF(K$6&lt;=Inicio!$D$13,+(J29*$C$26)+J29,0)</f>
        <v>0</v>
      </c>
      <c r="L29" s="161">
        <f>IF(L$6&lt;=Inicio!$D$13,+(K29*$C$26)+K29,0)</f>
        <v>0</v>
      </c>
      <c r="M29" s="161">
        <f>IF(M$6&lt;=Inicio!$D$13,+(L29*$C$26)+L29,0)</f>
        <v>0</v>
      </c>
      <c r="N29" s="161">
        <f>IF(N$6&lt;=Inicio!$D$13,+(M29*$C$26)+M29,0)</f>
        <v>0</v>
      </c>
      <c r="O29" s="161">
        <f>IF(O$6&lt;=Inicio!$D$13,+(N29*$C$26)+N29,0)</f>
        <v>0</v>
      </c>
      <c r="P29" s="161">
        <f>IF(P$6&lt;=Inicio!$D$13,+(O29*$C$26)+O29,0)</f>
        <v>0</v>
      </c>
      <c r="Q29" s="161">
        <f>IF(Q$6&lt;=Inicio!$D$13,+(P29*$C$26)+P29,0)</f>
        <v>0</v>
      </c>
      <c r="R29" s="152"/>
    </row>
    <row r="30" spans="2:18" ht="16.5" thickTop="1" thickBot="1" x14ac:dyDescent="0.3">
      <c r="B30" s="161">
        <f>+Inicio!E152</f>
        <v>0</v>
      </c>
      <c r="C30" s="161">
        <f>IF(Inicio!$F$13="Años",(Inicio!F152*12),Inicio!F152)</f>
        <v>0</v>
      </c>
      <c r="D30" s="161">
        <f>IF(D$6&lt;=Inicio!$D$13,+(C30*$C$26)+C30,0)</f>
        <v>0</v>
      </c>
      <c r="E30" s="161">
        <f>IF(E$6&lt;=Inicio!$D$13,+(D30*$C$26)+D30,0)</f>
        <v>0</v>
      </c>
      <c r="F30" s="161">
        <f>IF(F$6&lt;=Inicio!$D$13,+(E30*$C$26)+E30,0)</f>
        <v>0</v>
      </c>
      <c r="G30" s="161">
        <f>IF(G$6&lt;=Inicio!$D$13,+(F30*$C$26)+F30,0)</f>
        <v>0</v>
      </c>
      <c r="H30" s="161">
        <f>IF(H$6&lt;=Inicio!$D$13,+(G30*$C$26)+G30,0)</f>
        <v>0</v>
      </c>
      <c r="I30" s="161">
        <f>IF(I$6&lt;=Inicio!$D$13,+(H30*$C$26)+H30,0)</f>
        <v>0</v>
      </c>
      <c r="J30" s="161">
        <f>IF(J$6&lt;=Inicio!$D$13,+(I30*$C$26)+I30,0)</f>
        <v>0</v>
      </c>
      <c r="K30" s="161">
        <f>IF(K$6&lt;=Inicio!$D$13,+(J30*$C$26)+J30,0)</f>
        <v>0</v>
      </c>
      <c r="L30" s="161">
        <f>IF(L$6&lt;=Inicio!$D$13,+(K30*$C$26)+K30,0)</f>
        <v>0</v>
      </c>
      <c r="M30" s="161">
        <f>IF(M$6&lt;=Inicio!$D$13,+(L30*$C$26)+L30,0)</f>
        <v>0</v>
      </c>
      <c r="N30" s="161">
        <f>IF(N$6&lt;=Inicio!$D$13,+(M30*$C$26)+M30,0)</f>
        <v>0</v>
      </c>
      <c r="O30" s="161">
        <f>IF(O$6&lt;=Inicio!$D$13,+(N30*$C$26)+N30,0)</f>
        <v>0</v>
      </c>
      <c r="P30" s="161">
        <f>IF(P$6&lt;=Inicio!$D$13,+(O30*$C$26)+O30,0)</f>
        <v>0</v>
      </c>
      <c r="Q30" s="161">
        <f>IF(Q$6&lt;=Inicio!$D$13,+(P30*$C$26)+P30,0)</f>
        <v>0</v>
      </c>
      <c r="R30" s="152"/>
    </row>
    <row r="31" spans="2:18" ht="16.5" thickTop="1" thickBot="1" x14ac:dyDescent="0.3">
      <c r="B31" s="161">
        <f>+Inicio!E153</f>
        <v>0</v>
      </c>
      <c r="C31" s="161">
        <f>IF(Inicio!$F$13="Años",(Inicio!F153*12),Inicio!F153)</f>
        <v>0</v>
      </c>
      <c r="D31" s="161">
        <f>IF(D$6&lt;=Inicio!$D$13,+(C31*$C$26)+C31,0)</f>
        <v>0</v>
      </c>
      <c r="E31" s="161">
        <f>IF(E$6&lt;=Inicio!$D$13,+(D31*$C$26)+D31,0)</f>
        <v>0</v>
      </c>
      <c r="F31" s="161">
        <f>IF(F$6&lt;=Inicio!$D$13,+(E31*$C$26)+E31,0)</f>
        <v>0</v>
      </c>
      <c r="G31" s="161">
        <f>IF(G$6&lt;=Inicio!$D$13,+(F31*$C$26)+F31,0)</f>
        <v>0</v>
      </c>
      <c r="H31" s="161">
        <f>IF(H$6&lt;=Inicio!$D$13,+(G31*$C$26)+G31,0)</f>
        <v>0</v>
      </c>
      <c r="I31" s="161">
        <f>IF(I$6&lt;=Inicio!$D$13,+(H31*$C$26)+H31,0)</f>
        <v>0</v>
      </c>
      <c r="J31" s="161">
        <f>IF(J$6&lt;=Inicio!$D$13,+(I31*$C$26)+I31,0)</f>
        <v>0</v>
      </c>
      <c r="K31" s="161">
        <f>IF(K$6&lt;=Inicio!$D$13,+(J31*$C$26)+J31,0)</f>
        <v>0</v>
      </c>
      <c r="L31" s="161">
        <f>IF(L$6&lt;=Inicio!$D$13,+(K31*$C$26)+K31,0)</f>
        <v>0</v>
      </c>
      <c r="M31" s="161">
        <f>IF(M$6&lt;=Inicio!$D$13,+(L31*$C$26)+L31,0)</f>
        <v>0</v>
      </c>
      <c r="N31" s="161">
        <f>IF(N$6&lt;=Inicio!$D$13,+(M31*$C$26)+M31,0)</f>
        <v>0</v>
      </c>
      <c r="O31" s="161">
        <f>IF(O$6&lt;=Inicio!$D$13,+(N31*$C$26)+N31,0)</f>
        <v>0</v>
      </c>
      <c r="P31" s="161">
        <f>IF(P$6&lt;=Inicio!$D$13,+(O31*$C$26)+O31,0)</f>
        <v>0</v>
      </c>
      <c r="Q31" s="161">
        <f>IF(Q$6&lt;=Inicio!$D$13,+(P31*$C$26)+P31,0)</f>
        <v>0</v>
      </c>
      <c r="R31" s="152"/>
    </row>
    <row r="32" spans="2:18" ht="16.5" thickTop="1" thickBot="1" x14ac:dyDescent="0.3">
      <c r="B32" s="161">
        <f>+Inicio!E154</f>
        <v>0</v>
      </c>
      <c r="C32" s="161">
        <f>+'presupuesto compras y ventas'!C18*0</f>
        <v>0</v>
      </c>
      <c r="D32" s="161">
        <f>(0*((1+'presupuesto compras y ventas'!D11)*'presupuesto compras y ventas'!D18))</f>
        <v>0</v>
      </c>
      <c r="E32" s="161">
        <f>(0*((1+'presupuesto compras y ventas'!E11)*'presupuesto compras y ventas'!E18))</f>
        <v>0</v>
      </c>
      <c r="F32" s="161" t="e">
        <f>(0*((1+'presupuesto compras y ventas'!F11)*'presupuesto compras y ventas'!F18))</f>
        <v>#VALUE!</v>
      </c>
      <c r="G32" s="161" t="e">
        <f>(0*((1+'presupuesto compras y ventas'!G11)*'presupuesto compras y ventas'!G18))</f>
        <v>#VALUE!</v>
      </c>
      <c r="H32" s="161">
        <f>IF(H$6&lt;=Inicio!$D$13,+(G32*$C$26)+G32,0)</f>
        <v>0</v>
      </c>
      <c r="I32" s="161">
        <f>IF(I$6&lt;=Inicio!$D$13,+(H32*$C$26)+H32,0)</f>
        <v>0</v>
      </c>
      <c r="J32" s="161">
        <f>IF(J$6&lt;=Inicio!$D$13,+(I32*$C$26)+I32,0)</f>
        <v>0</v>
      </c>
      <c r="K32" s="161">
        <f>IF(K$6&lt;=Inicio!$D$13,+(J32*$C$26)+J32,0)</f>
        <v>0</v>
      </c>
      <c r="L32" s="161">
        <f>IF(L$6&lt;=Inicio!$D$13,+(K32*$C$26)+K32,0)</f>
        <v>0</v>
      </c>
      <c r="M32" s="161">
        <f>IF(M$6&lt;=Inicio!$D$13,+(L32*$C$26)+L32,0)</f>
        <v>0</v>
      </c>
      <c r="N32" s="161">
        <f>IF(N$6&lt;=Inicio!$D$13,+(M32*$C$26)+M32,0)</f>
        <v>0</v>
      </c>
      <c r="O32" s="161">
        <f>IF(O$6&lt;=Inicio!$D$13,+(N32*$C$26)+N32,0)</f>
        <v>0</v>
      </c>
      <c r="P32" s="161">
        <f>IF(P$6&lt;=Inicio!$D$13,+(O32*$C$26)+O32,0)</f>
        <v>0</v>
      </c>
      <c r="Q32" s="161">
        <f>IF(Q$6&lt;=Inicio!$D$13,+(P32*$C$26)+P32,0)</f>
        <v>0</v>
      </c>
      <c r="R32" s="152"/>
    </row>
    <row r="33" spans="2:18" ht="16.5" thickTop="1" thickBot="1" x14ac:dyDescent="0.3">
      <c r="B33" s="161">
        <f>+Inicio!E155</f>
        <v>0</v>
      </c>
      <c r="C33" s="161">
        <f>IF(Inicio!$F$13="Años",(Inicio!F155*12),Inicio!F155)</f>
        <v>0</v>
      </c>
      <c r="D33" s="161">
        <f>IF(D$6&lt;=Inicio!$D$13,+(C33*$C$26)+C33,0)</f>
        <v>0</v>
      </c>
      <c r="E33" s="161">
        <f>IF(E$6&lt;=Inicio!$D$13,+(D33*$C$26)+D33,0)</f>
        <v>0</v>
      </c>
      <c r="F33" s="161">
        <f>IF(F$6&lt;=Inicio!$D$13,+(E33*$C$26)+E33,0)</f>
        <v>0</v>
      </c>
      <c r="G33" s="161">
        <f>IF(G$6&lt;=Inicio!$D$13,+(F33*$C$26)+F33,0)</f>
        <v>0</v>
      </c>
      <c r="H33" s="161">
        <f>IF(H$6&lt;=Inicio!$D$13,+(G33*$C$26)+G33,0)</f>
        <v>0</v>
      </c>
      <c r="I33" s="161">
        <f>IF(I$6&lt;=Inicio!$D$13,+(H33*$C$26)+H33,0)</f>
        <v>0</v>
      </c>
      <c r="J33" s="161">
        <f>IF(J$6&lt;=Inicio!$D$13,+(I33*$C$26)+I33,0)</f>
        <v>0</v>
      </c>
      <c r="K33" s="161">
        <f>IF(K$6&lt;=Inicio!$D$13,+(J33*$C$26)+J33,0)</f>
        <v>0</v>
      </c>
      <c r="L33" s="161">
        <f>IF(L$6&lt;=Inicio!$D$13,+(K33*$C$26)+K33,0)</f>
        <v>0</v>
      </c>
      <c r="M33" s="161">
        <f>IF(M$6&lt;=Inicio!$D$13,+(L33*$C$26)+L33,0)</f>
        <v>0</v>
      </c>
      <c r="N33" s="161">
        <f>IF(N$6&lt;=Inicio!$D$13,+(M33*$C$26)+M33,0)</f>
        <v>0</v>
      </c>
      <c r="O33" s="161">
        <f>IF(O$6&lt;=Inicio!$D$13,+(N33*$C$26)+N33,0)</f>
        <v>0</v>
      </c>
      <c r="P33" s="161">
        <f>IF(P$6&lt;=Inicio!$D$13,+(O33*$C$26)+O33,0)</f>
        <v>0</v>
      </c>
      <c r="Q33" s="161">
        <f>IF(Q$6&lt;=Inicio!$D$13,+(P33*$C$26)+P33,0)</f>
        <v>0</v>
      </c>
      <c r="R33" s="152"/>
    </row>
    <row r="34" spans="2:18" ht="16.5" thickTop="1" thickBot="1" x14ac:dyDescent="0.3">
      <c r="B34" s="161">
        <f>+Inicio!E156</f>
        <v>0</v>
      </c>
      <c r="C34" s="161">
        <f>IF(Inicio!$F$13="Años",(Inicio!F156*12),Inicio!F156)</f>
        <v>0</v>
      </c>
      <c r="D34" s="161">
        <f>IF(D$6&lt;=Inicio!$D$13,+(C34*$C$26)+C34,0)</f>
        <v>0</v>
      </c>
      <c r="E34" s="161">
        <f>IF(E$6&lt;=Inicio!$D$13,+(D34*$C$26)+D34,0)</f>
        <v>0</v>
      </c>
      <c r="F34" s="161">
        <f>IF(F$6&lt;=Inicio!$D$13,+(E34*$C$26)+E34,0)</f>
        <v>0</v>
      </c>
      <c r="G34" s="161">
        <f>IF(G$6&lt;=Inicio!$D$13,+(F34*$C$26)+F34,0)</f>
        <v>0</v>
      </c>
      <c r="H34" s="161">
        <f>IF(H$6&lt;=Inicio!$D$13,+(G34*$C$26)+G34,0)</f>
        <v>0</v>
      </c>
      <c r="I34" s="161">
        <f>IF(I$6&lt;=Inicio!$D$13,+(H34*$C$26)+H34,0)</f>
        <v>0</v>
      </c>
      <c r="J34" s="161">
        <f>IF(J$6&lt;=Inicio!$D$13,+(I34*$C$26)+I34,0)</f>
        <v>0</v>
      </c>
      <c r="K34" s="161">
        <f>IF(K$6&lt;=Inicio!$D$13,+(J34*$C$26)+J34,0)</f>
        <v>0</v>
      </c>
      <c r="L34" s="161">
        <f>IF(L$6&lt;=Inicio!$D$13,+(K34*$C$26)+K34,0)</f>
        <v>0</v>
      </c>
      <c r="M34" s="161">
        <f>IF(M$6&lt;=Inicio!$D$13,+(L34*$C$26)+L34,0)</f>
        <v>0</v>
      </c>
      <c r="N34" s="161">
        <f>IF(N$6&lt;=Inicio!$D$13,+(M34*$C$26)+M34,0)</f>
        <v>0</v>
      </c>
      <c r="O34" s="161">
        <f>IF(O$6&lt;=Inicio!$D$13,+(N34*$C$26)+N34,0)</f>
        <v>0</v>
      </c>
      <c r="P34" s="161">
        <f>IF(P$6&lt;=Inicio!$D$13,+(O34*$C$26)+O34,0)</f>
        <v>0</v>
      </c>
      <c r="Q34" s="161">
        <f>IF(Q$6&lt;=Inicio!$D$13,+(P34*$C$26)+P34,0)</f>
        <v>0</v>
      </c>
      <c r="R34" s="152"/>
    </row>
    <row r="35" spans="2:18" ht="16.5" thickTop="1" thickBot="1" x14ac:dyDescent="0.3">
      <c r="B35" s="161">
        <f>+Inicio!E157</f>
        <v>0</v>
      </c>
      <c r="C35" s="161">
        <f>IF(Inicio!$F$13="Años",(Inicio!F157*12),Inicio!F157)</f>
        <v>0</v>
      </c>
      <c r="D35" s="161">
        <f>IF(D$6&lt;=Inicio!$D$13,+(C35*$C$26)+C35,0)</f>
        <v>0</v>
      </c>
      <c r="E35" s="161">
        <f>IF(E$6&lt;=Inicio!$D$13,+(D35*$C$26)+D35,0)</f>
        <v>0</v>
      </c>
      <c r="F35" s="161">
        <f>IF(F$6&lt;=Inicio!$D$13,+(E35*$C$26)+E35,0)</f>
        <v>0</v>
      </c>
      <c r="G35" s="161">
        <f>IF(G$6&lt;=Inicio!$D$13,+(F35*$C$26)+F35,0)</f>
        <v>0</v>
      </c>
      <c r="H35" s="161">
        <f>IF(H$6&lt;=Inicio!$D$13,+(G35*$C$26)+G35,0)</f>
        <v>0</v>
      </c>
      <c r="I35" s="161">
        <f>IF(I$6&lt;=Inicio!$D$13,+(H35*$C$26)+H35,0)</f>
        <v>0</v>
      </c>
      <c r="J35" s="161">
        <f>IF(J$6&lt;=Inicio!$D$13,+(I35*$C$26)+I35,0)</f>
        <v>0</v>
      </c>
      <c r="K35" s="161">
        <f>IF(K$6&lt;=Inicio!$D$13,+(J35*$C$26)+J35,0)</f>
        <v>0</v>
      </c>
      <c r="L35" s="161">
        <f>IF(L$6&lt;=Inicio!$D$13,+(K35*$C$26)+K35,0)</f>
        <v>0</v>
      </c>
      <c r="M35" s="161">
        <f>IF(M$6&lt;=Inicio!$D$13,+(L35*$C$26)+L35,0)</f>
        <v>0</v>
      </c>
      <c r="N35" s="161">
        <f>IF(N$6&lt;=Inicio!$D$13,+(M35*$C$26)+M35,0)</f>
        <v>0</v>
      </c>
      <c r="O35" s="161">
        <f>IF(O$6&lt;=Inicio!$D$13,+(N35*$C$26)+N35,0)</f>
        <v>0</v>
      </c>
      <c r="P35" s="161">
        <f>IF(P$6&lt;=Inicio!$D$13,+(O35*$C$26)+O35,0)</f>
        <v>0</v>
      </c>
      <c r="Q35" s="161">
        <f>IF(Q$6&lt;=Inicio!$D$13,+(P35*$C$26)+P35,0)</f>
        <v>0</v>
      </c>
      <c r="R35" s="152"/>
    </row>
    <row r="36" spans="2:18" ht="16.5" thickTop="1" thickBot="1" x14ac:dyDescent="0.3">
      <c r="B36" s="161">
        <f>+Inicio!E158</f>
        <v>0</v>
      </c>
      <c r="C36" s="161">
        <f>IF(Inicio!$F$13="Años",(Inicio!F158*12),Inicio!F158)</f>
        <v>0</v>
      </c>
      <c r="D36" s="161">
        <f>IF(D$6&lt;=Inicio!$D$13,+(C36*$C$26)+C36,0)</f>
        <v>0</v>
      </c>
      <c r="E36" s="161">
        <f>IF(E$6&lt;=Inicio!$D$13,+(D36*$C$26)+D36,0)</f>
        <v>0</v>
      </c>
      <c r="F36" s="161">
        <f>IF(F$6&lt;=Inicio!$D$13,+(E36*$C$26)+E36,0)</f>
        <v>0</v>
      </c>
      <c r="G36" s="161">
        <f>IF(G$6&lt;=Inicio!$D$13,+(F36*$C$26)+F36,0)</f>
        <v>0</v>
      </c>
      <c r="H36" s="161">
        <f>IF(H$6&lt;=Inicio!$D$13,+(G36*$C$26)+G36,0)</f>
        <v>0</v>
      </c>
      <c r="I36" s="161">
        <f>IF(I$6&lt;=Inicio!$D$13,+(H36*$C$26)+H36,0)</f>
        <v>0</v>
      </c>
      <c r="J36" s="161">
        <f>IF(J$6&lt;=Inicio!$D$13,+(I36*$C$26)+I36,0)</f>
        <v>0</v>
      </c>
      <c r="K36" s="161">
        <f>IF(K$6&lt;=Inicio!$D$13,+(J36*$C$26)+J36,0)</f>
        <v>0</v>
      </c>
      <c r="L36" s="161">
        <f>IF(L$6&lt;=Inicio!$D$13,+(K36*$C$26)+K36,0)</f>
        <v>0</v>
      </c>
      <c r="M36" s="161">
        <f>IF(M$6&lt;=Inicio!$D$13,+(L36*$C$26)+L36,0)</f>
        <v>0</v>
      </c>
      <c r="N36" s="161">
        <f>IF(N$6&lt;=Inicio!$D$13,+(M36*$C$26)+M36,0)</f>
        <v>0</v>
      </c>
      <c r="O36" s="161">
        <f>IF(O$6&lt;=Inicio!$D$13,+(N36*$C$26)+N36,0)</f>
        <v>0</v>
      </c>
      <c r="P36" s="161">
        <f>IF(P$6&lt;=Inicio!$D$13,+(O36*$C$26)+O36,0)</f>
        <v>0</v>
      </c>
      <c r="Q36" s="161">
        <f>IF(Q$6&lt;=Inicio!$D$13,+(P36*$C$26)+P36,0)</f>
        <v>0</v>
      </c>
      <c r="R36" s="152"/>
    </row>
    <row r="37" spans="2:18" ht="16.5" thickTop="1" thickBot="1" x14ac:dyDescent="0.3">
      <c r="B37" s="161">
        <f>+Inicio!E159</f>
        <v>0</v>
      </c>
      <c r="C37" s="161">
        <f>IF(Inicio!$F$13="Años",(Inicio!F159*12),Inicio!F159)</f>
        <v>0</v>
      </c>
      <c r="D37" s="161">
        <f>IF(D$6&lt;=Inicio!$D$13,+(C37*$C$26)+C37,0)</f>
        <v>0</v>
      </c>
      <c r="E37" s="161">
        <f>IF(E$6&lt;=Inicio!$D$13,+(D37*$C$26)+D37,0)</f>
        <v>0</v>
      </c>
      <c r="F37" s="161">
        <f>IF(F$6&lt;=Inicio!$D$13,+(E37*$C$26)+E37,0)</f>
        <v>0</v>
      </c>
      <c r="G37" s="161">
        <f>IF(G$6&lt;=Inicio!$D$13,+(F37*$C$26)+F37,0)</f>
        <v>0</v>
      </c>
      <c r="H37" s="161">
        <f>IF(H$6&lt;=Inicio!$D$13,+(G37*$C$26)+G37,0)</f>
        <v>0</v>
      </c>
      <c r="I37" s="161">
        <f>IF(I$6&lt;=Inicio!$D$13,+(H37*$C$26)+H37,0)</f>
        <v>0</v>
      </c>
      <c r="J37" s="161">
        <f>IF(J$6&lt;=Inicio!$D$13,+(I37*$C$26)+I37,0)</f>
        <v>0</v>
      </c>
      <c r="K37" s="161">
        <f>IF(K$6&lt;=Inicio!$D$13,+(J37*$C$26)+J37,0)</f>
        <v>0</v>
      </c>
      <c r="L37" s="161">
        <f>IF(L$6&lt;=Inicio!$D$13,+(K37*$C$26)+K37,0)</f>
        <v>0</v>
      </c>
      <c r="M37" s="161">
        <f>IF(M$6&lt;=Inicio!$D$13,+(L37*$C$26)+L37,0)</f>
        <v>0</v>
      </c>
      <c r="N37" s="161">
        <f>IF(N$6&lt;=Inicio!$D$13,+(M37*$C$26)+M37,0)</f>
        <v>0</v>
      </c>
      <c r="O37" s="161">
        <f>IF(O$6&lt;=Inicio!$D$13,+(N37*$C$26)+N37,0)</f>
        <v>0</v>
      </c>
      <c r="P37" s="161">
        <f>IF(P$6&lt;=Inicio!$D$13,+(O37*$C$26)+O37,0)</f>
        <v>0</v>
      </c>
      <c r="Q37" s="161">
        <f>IF(Q$6&lt;=Inicio!$D$13,+(P37*$C$26)+P37,0)</f>
        <v>0</v>
      </c>
      <c r="R37" s="152"/>
    </row>
    <row r="38" spans="2:18" ht="16.5" thickTop="1" thickBot="1" x14ac:dyDescent="0.3">
      <c r="B38" s="161">
        <f>+Inicio!E160</f>
        <v>0</v>
      </c>
      <c r="C38" s="161">
        <f>IF(Inicio!$F$13="Años",(Inicio!F160*12),Inicio!F160)</f>
        <v>0</v>
      </c>
      <c r="D38" s="161">
        <f>IF(D$6&lt;=Inicio!$D$13,+(C38*$C$26)+C38,0)</f>
        <v>0</v>
      </c>
      <c r="E38" s="161">
        <f>IF(E$6&lt;=Inicio!$D$13,+(D38*$C$26)+D38,0)</f>
        <v>0</v>
      </c>
      <c r="F38" s="161">
        <f>IF(F$6&lt;=Inicio!$D$13,+(E38*$C$26)+E38,0)</f>
        <v>0</v>
      </c>
      <c r="G38" s="161">
        <f>IF(G$6&lt;=Inicio!$D$13,+(F38*$C$26)+F38,0)</f>
        <v>0</v>
      </c>
      <c r="H38" s="161">
        <f>IF(H$6&lt;=Inicio!$D$13,+(G38*$C$26)+G38,0)</f>
        <v>0</v>
      </c>
      <c r="I38" s="161">
        <f>IF(I$6&lt;=Inicio!$D$13,+(H38*$C$26)+H38,0)</f>
        <v>0</v>
      </c>
      <c r="J38" s="161">
        <f>IF(J$6&lt;=Inicio!$D$13,+(I38*$C$26)+I38,0)</f>
        <v>0</v>
      </c>
      <c r="K38" s="161">
        <f>IF(K$6&lt;=Inicio!$D$13,+(J38*$C$26)+J38,0)</f>
        <v>0</v>
      </c>
      <c r="L38" s="161">
        <f>IF(L$6&lt;=Inicio!$D$13,+(K38*$C$26)+K38,0)</f>
        <v>0</v>
      </c>
      <c r="M38" s="161">
        <f>IF(M$6&lt;=Inicio!$D$13,+(L38*$C$26)+L38,0)</f>
        <v>0</v>
      </c>
      <c r="N38" s="161">
        <f>IF(N$6&lt;=Inicio!$D$13,+(M38*$C$26)+M38,0)</f>
        <v>0</v>
      </c>
      <c r="O38" s="161">
        <f>IF(O$6&lt;=Inicio!$D$13,+(N38*$C$26)+N38,0)</f>
        <v>0</v>
      </c>
      <c r="P38" s="161">
        <f>IF(P$6&lt;=Inicio!$D$13,+(O38*$C$26)+O38,0)</f>
        <v>0</v>
      </c>
      <c r="Q38" s="161">
        <f>IF(Q$6&lt;=Inicio!$D$13,+(P38*$C$26)+P38,0)</f>
        <v>0</v>
      </c>
      <c r="R38" s="152"/>
    </row>
    <row r="39" spans="2:18" ht="16.5" thickTop="1" thickBot="1" x14ac:dyDescent="0.3">
      <c r="B39" s="161">
        <f>+Inicio!E161</f>
        <v>0</v>
      </c>
      <c r="C39" s="161">
        <f>IF(Inicio!$F$13="Años",(Inicio!F161*12),Inicio!F161)</f>
        <v>0</v>
      </c>
      <c r="D39" s="161">
        <f>IF(D$6&lt;=Inicio!$D$13,+(C39*$C$26)+C39,0)</f>
        <v>0</v>
      </c>
      <c r="E39" s="161">
        <f>IF(E$6&lt;=Inicio!$D$13,+(D39*$C$26)+D39,0)</f>
        <v>0</v>
      </c>
      <c r="F39" s="161">
        <f>IF(F$6&lt;=Inicio!$D$13,+(E39*$C$26)+E39,0)</f>
        <v>0</v>
      </c>
      <c r="G39" s="161">
        <f>IF(G$6&lt;=Inicio!$D$13,+(F39*$C$26)+F39,0)</f>
        <v>0</v>
      </c>
      <c r="H39" s="161">
        <f>IF(H$6&lt;=Inicio!$D$13,+(G39*$C$26)+G39,0)</f>
        <v>0</v>
      </c>
      <c r="I39" s="161">
        <f>IF(I$6&lt;=Inicio!$D$13,+(H39*$C$26)+H39,0)</f>
        <v>0</v>
      </c>
      <c r="J39" s="161">
        <f>IF(J$6&lt;=Inicio!$D$13,+(I39*$C$26)+I39,0)</f>
        <v>0</v>
      </c>
      <c r="K39" s="161">
        <f>IF(K$6&lt;=Inicio!$D$13,+(J39*$C$26)+J39,0)</f>
        <v>0</v>
      </c>
      <c r="L39" s="161">
        <f>IF(L$6&lt;=Inicio!$D$13,+(K39*$C$26)+K39,0)</f>
        <v>0</v>
      </c>
      <c r="M39" s="161">
        <f>IF(M$6&lt;=Inicio!$D$13,+(L39*$C$26)+L39,0)</f>
        <v>0</v>
      </c>
      <c r="N39" s="161">
        <f>IF(N$6&lt;=Inicio!$D$13,+(M39*$C$26)+M39,0)</f>
        <v>0</v>
      </c>
      <c r="O39" s="161">
        <f>IF(O$6&lt;=Inicio!$D$13,+(N39*$C$26)+N39,0)</f>
        <v>0</v>
      </c>
      <c r="P39" s="161">
        <f>IF(P$6&lt;=Inicio!$D$13,+(O39*$C$26)+O39,0)</f>
        <v>0</v>
      </c>
      <c r="Q39" s="161">
        <f>IF(Q$6&lt;=Inicio!$D$13,+(P39*$C$26)+P39,0)</f>
        <v>0</v>
      </c>
      <c r="R39" s="152"/>
    </row>
    <row r="40" spans="2:18" ht="16.5" thickTop="1" thickBot="1" x14ac:dyDescent="0.3">
      <c r="B40" s="161">
        <f>+Inicio!E162</f>
        <v>0</v>
      </c>
      <c r="C40" s="161">
        <f>IF(Inicio!$F$13="Años",(Inicio!F162*12),Inicio!F162)</f>
        <v>0</v>
      </c>
      <c r="D40" s="161">
        <f>IF(D$6&lt;=Inicio!$D$13,+(C40*$C$26)+C40,0)</f>
        <v>0</v>
      </c>
      <c r="E40" s="161">
        <f>IF(E$6&lt;=Inicio!$D$13,+(D40*$C$26)+D40,0)</f>
        <v>0</v>
      </c>
      <c r="F40" s="161">
        <f>IF(F$6&lt;=Inicio!$D$13,+(E40*$C$26)+E40,0)</f>
        <v>0</v>
      </c>
      <c r="G40" s="161">
        <f>IF(G$6&lt;=Inicio!$D$13,+(F40*$C$26)+F40,0)</f>
        <v>0</v>
      </c>
      <c r="H40" s="161">
        <f>IF(H$6&lt;=Inicio!$D$13,+(G40*$C$26)+G40,0)</f>
        <v>0</v>
      </c>
      <c r="I40" s="161">
        <f>IF(I$6&lt;=Inicio!$D$13,+(H40*$C$26)+H40,0)</f>
        <v>0</v>
      </c>
      <c r="J40" s="161">
        <f>IF(J$6&lt;=Inicio!$D$13,+(I40*$C$26)+I40,0)</f>
        <v>0</v>
      </c>
      <c r="K40" s="161">
        <f>IF(K$6&lt;=Inicio!$D$13,+(J40*$C$26)+J40,0)</f>
        <v>0</v>
      </c>
      <c r="L40" s="161">
        <f>IF(L$6&lt;=Inicio!$D$13,+(K40*$C$26)+K40,0)</f>
        <v>0</v>
      </c>
      <c r="M40" s="161">
        <f>IF(M$6&lt;=Inicio!$D$13,+(L40*$C$26)+L40,0)</f>
        <v>0</v>
      </c>
      <c r="N40" s="161">
        <f>IF(N$6&lt;=Inicio!$D$13,+(M40*$C$26)+M40,0)</f>
        <v>0</v>
      </c>
      <c r="O40" s="161">
        <f>IF(O$6&lt;=Inicio!$D$13,+(N40*$C$26)+N40,0)</f>
        <v>0</v>
      </c>
      <c r="P40" s="161">
        <f>IF(P$6&lt;=Inicio!$D$13,+(O40*$C$26)+O40,0)</f>
        <v>0</v>
      </c>
      <c r="Q40" s="161">
        <f>IF(Q$6&lt;=Inicio!$D$13,+(P40*$C$26)+P40,0)</f>
        <v>0</v>
      </c>
      <c r="R40" s="152"/>
    </row>
    <row r="41" spans="2:18" ht="16.5" thickTop="1" thickBot="1" x14ac:dyDescent="0.3">
      <c r="B41" s="161">
        <f>+Inicio!E163</f>
        <v>0</v>
      </c>
      <c r="C41" s="161">
        <f>IF(Inicio!$F$13="Años",(Inicio!F163*12),Inicio!F163)</f>
        <v>0</v>
      </c>
      <c r="D41" s="161">
        <f>IF(D$6&lt;=Inicio!$D$13,+(C41*$C$26)+C41,0)</f>
        <v>0</v>
      </c>
      <c r="E41" s="161">
        <f>IF(E$6&lt;=Inicio!$D$13,+(D41*$C$26)+D41,0)</f>
        <v>0</v>
      </c>
      <c r="F41" s="161">
        <f>IF(F$6&lt;=Inicio!$D$13,+(E41*$C$26)+E41,0)</f>
        <v>0</v>
      </c>
      <c r="G41" s="161">
        <f>IF(G$6&lt;=Inicio!$D$13,+(F41*$C$26)+F41,0)</f>
        <v>0</v>
      </c>
      <c r="H41" s="161">
        <f>IF(H$6&lt;=Inicio!$D$13,+(G41*$C$26)+G41,0)</f>
        <v>0</v>
      </c>
      <c r="I41" s="161">
        <f>IF(I$6&lt;=Inicio!$D$13,+(H41*$C$26)+H41,0)</f>
        <v>0</v>
      </c>
      <c r="J41" s="161">
        <f>IF(J$6&lt;=Inicio!$D$13,+(I41*$C$26)+I41,0)</f>
        <v>0</v>
      </c>
      <c r="K41" s="161">
        <f>IF(K$6&lt;=Inicio!$D$13,+(J41*$C$26)+J41,0)</f>
        <v>0</v>
      </c>
      <c r="L41" s="161">
        <f>IF(L$6&lt;=Inicio!$D$13,+(K41*$C$26)+K41,0)</f>
        <v>0</v>
      </c>
      <c r="M41" s="161">
        <f>IF(M$6&lt;=Inicio!$D$13,+(L41*$C$26)+L41,0)</f>
        <v>0</v>
      </c>
      <c r="N41" s="161">
        <f>IF(N$6&lt;=Inicio!$D$13,+(M41*$C$26)+M41,0)</f>
        <v>0</v>
      </c>
      <c r="O41" s="161">
        <f>IF(O$6&lt;=Inicio!$D$13,+(N41*$C$26)+N41,0)</f>
        <v>0</v>
      </c>
      <c r="P41" s="161">
        <f>IF(P$6&lt;=Inicio!$D$13,+(O41*$C$26)+O41,0)</f>
        <v>0</v>
      </c>
      <c r="Q41" s="161">
        <f>IF(Q$6&lt;=Inicio!$D$13,+(P41*$C$26)+P41,0)</f>
        <v>0</v>
      </c>
      <c r="R41" s="152"/>
    </row>
    <row r="42" spans="2:18" ht="16.5" thickTop="1" thickBot="1" x14ac:dyDescent="0.3">
      <c r="B42" s="161">
        <f>+Inicio!E164</f>
        <v>0</v>
      </c>
      <c r="C42" s="161">
        <f>IF(Inicio!$F$13="Años",(Inicio!F164*12),Inicio!F164)</f>
        <v>0</v>
      </c>
      <c r="D42" s="161">
        <f>IF(D$6&lt;=Inicio!$D$13,+(C42*$C$26)+C42,0)</f>
        <v>0</v>
      </c>
      <c r="E42" s="161">
        <f>IF(E$6&lt;=Inicio!$D$13,+(D42*$C$26)+D42,0)</f>
        <v>0</v>
      </c>
      <c r="F42" s="161">
        <f>IF(F$6&lt;=Inicio!$D$13,+(E42*$C$26)+E42,0)</f>
        <v>0</v>
      </c>
      <c r="G42" s="161">
        <f>IF(G$6&lt;=Inicio!$D$13,+(F42*$C$26)+F42,0)</f>
        <v>0</v>
      </c>
      <c r="H42" s="161">
        <f>IF(H$6&lt;=Inicio!$D$13,+(G42*$C$26)+G42,0)</f>
        <v>0</v>
      </c>
      <c r="I42" s="161">
        <f>IF(I$6&lt;=Inicio!$D$13,+(H42*$C$26)+H42,0)</f>
        <v>0</v>
      </c>
      <c r="J42" s="161">
        <f>IF(J$6&lt;=Inicio!$D$13,+(I42*$C$26)+I42,0)</f>
        <v>0</v>
      </c>
      <c r="K42" s="161">
        <f>IF(K$6&lt;=Inicio!$D$13,+(J42*$C$26)+J42,0)</f>
        <v>0</v>
      </c>
      <c r="L42" s="161">
        <f>IF(L$6&lt;=Inicio!$D$13,+(K42*$C$26)+K42,0)</f>
        <v>0</v>
      </c>
      <c r="M42" s="161">
        <f>IF(M$6&lt;=Inicio!$D$13,+(L42*$C$26)+L42,0)</f>
        <v>0</v>
      </c>
      <c r="N42" s="161">
        <f>IF(N$6&lt;=Inicio!$D$13,+(M42*$C$26)+M42,0)</f>
        <v>0</v>
      </c>
      <c r="O42" s="161">
        <f>IF(O$6&lt;=Inicio!$D$13,+(N42*$C$26)+N42,0)</f>
        <v>0</v>
      </c>
      <c r="P42" s="161">
        <f>IF(P$6&lt;=Inicio!$D$13,+(O42*$C$26)+O42,0)</f>
        <v>0</v>
      </c>
      <c r="Q42" s="161">
        <f>IF(Q$6&lt;=Inicio!$D$13,+(P42*$C$26)+P42,0)</f>
        <v>0</v>
      </c>
      <c r="R42" s="152"/>
    </row>
    <row r="43" spans="2:18" ht="16.5" thickTop="1" thickBot="1" x14ac:dyDescent="0.3">
      <c r="B43" s="161">
        <f>+Inicio!E165</f>
        <v>0</v>
      </c>
      <c r="C43" s="161">
        <f>(+$C$47*'presupuesto compras y ventas'!C47)+($E$47*'presupuesto compras y ventas'!C46)</f>
        <v>0</v>
      </c>
      <c r="D43" s="161">
        <f>IF(D$6&lt;=Inicio!$D$13,+('presupuesto compras y ventas'!D47*$C$47)+($E$47*'presupuesto compras y ventas'!D46),0)</f>
        <v>0</v>
      </c>
      <c r="E43" s="161">
        <f>IF(E$6&lt;=Inicio!$D$13,+('presupuesto compras y ventas'!E47*$C$47)+($E$47*'presupuesto compras y ventas'!E46),0)</f>
        <v>0</v>
      </c>
      <c r="F43" s="161">
        <f>IF(F$6&lt;=Inicio!$D$13,+('presupuesto compras y ventas'!F47*$C$47)+($E$47*'presupuesto compras y ventas'!F46),0)</f>
        <v>0</v>
      </c>
      <c r="G43" s="161">
        <f>IF(G$6&lt;=Inicio!$D$13,+('presupuesto compras y ventas'!G47*$C$47)+($E$47*'presupuesto compras y ventas'!G46),0)</f>
        <v>0</v>
      </c>
      <c r="H43" s="161">
        <f>IF(H$6&lt;=Inicio!$D$13,+('presupuesto compras y ventas'!H47*$C$47)+($E$47*'presupuesto compras y ventas'!H46),0)</f>
        <v>0</v>
      </c>
      <c r="I43" s="161">
        <f>IF(I$6&lt;=Inicio!$D$13,+('presupuesto compras y ventas'!I47*$C$47)+($E$47*'presupuesto compras y ventas'!I46),0)</f>
        <v>0</v>
      </c>
      <c r="J43" s="161">
        <f>IF(J$6&lt;=Inicio!$D$13,+('presupuesto compras y ventas'!J47*$C$47)+($E$47*'presupuesto compras y ventas'!J46),0)</f>
        <v>0</v>
      </c>
      <c r="K43" s="161">
        <f>IF(K$6&lt;=Inicio!$D$13,+('presupuesto compras y ventas'!K47*$C$47)+($E$47*'presupuesto compras y ventas'!K46),0)</f>
        <v>0</v>
      </c>
      <c r="L43" s="161">
        <f>IF(L$6&lt;=Inicio!$D$13,+('presupuesto compras y ventas'!L47*$C$47)+($E$47*'presupuesto compras y ventas'!L46),0)</f>
        <v>0</v>
      </c>
      <c r="M43" s="161">
        <f>IF(M$6&lt;=Inicio!$D$13,+('presupuesto compras y ventas'!M47*$C$47)+($E$47*'presupuesto compras y ventas'!M46),0)</f>
        <v>0</v>
      </c>
      <c r="N43" s="161">
        <f>IF(N$6&lt;=Inicio!$D$13,+('presupuesto compras y ventas'!N47*$C$47)+($E$47*'presupuesto compras y ventas'!N46),0)</f>
        <v>0</v>
      </c>
      <c r="O43" s="161">
        <f>IF(O$6&lt;=Inicio!$D$13,+('presupuesto compras y ventas'!O47*$C$47)+($E$47*'presupuesto compras y ventas'!O46),0)</f>
        <v>0</v>
      </c>
      <c r="P43" s="161">
        <f>IF(P$6&lt;=Inicio!$D$13,+('presupuesto compras y ventas'!P47*$C$47)+($E$47*'presupuesto compras y ventas'!P46),0)</f>
        <v>0</v>
      </c>
      <c r="Q43" s="161">
        <f>IF(Q$6&lt;=Inicio!$D$13,+('presupuesto compras y ventas'!Q47*$C$47)+($E$47*'presupuesto compras y ventas'!Q46),0)</f>
        <v>0</v>
      </c>
      <c r="R43" s="152"/>
    </row>
    <row r="44" spans="2:18" ht="16.5" thickTop="1" thickBot="1" x14ac:dyDescent="0.3">
      <c r="B44" s="161">
        <f>+Inicio!E166</f>
        <v>0</v>
      </c>
      <c r="C44" s="161">
        <f>Inicio!F166</f>
        <v>0</v>
      </c>
      <c r="D44" s="161">
        <f>IF(D$6&lt;=Inicio!$D$13,+(C44*$C$26)+C44,0)</f>
        <v>0</v>
      </c>
      <c r="E44" s="161">
        <f>IF(E$6&lt;=Inicio!$D$13,+(D44*$C$26)+D44,0)</f>
        <v>0</v>
      </c>
      <c r="F44" s="161">
        <f>IF(F$6&lt;=Inicio!$D$13,+(E44*$C$26)+E44,0)</f>
        <v>0</v>
      </c>
      <c r="G44" s="161">
        <f>IF(G$6&lt;=Inicio!$D$13,+(F44*$C$26)+F44,0)</f>
        <v>0</v>
      </c>
      <c r="H44" s="161">
        <f>IF(H$6&lt;=Inicio!$D$13,+(G44*$C$26)+G44,0)</f>
        <v>0</v>
      </c>
      <c r="I44" s="161">
        <f>IF(I$6&lt;=Inicio!$D$13,+(H44*$C$26)+H44,0)</f>
        <v>0</v>
      </c>
      <c r="J44" s="161">
        <f>IF(J$6&lt;=Inicio!$D$13,+(I44*$C$26)+I44,0)</f>
        <v>0</v>
      </c>
      <c r="K44" s="161">
        <f>IF(K$6&lt;=Inicio!$D$13,+(J44*$C$26)+J44,0)</f>
        <v>0</v>
      </c>
      <c r="L44" s="161">
        <f>IF(L$6&lt;=Inicio!$D$13,+(K44*$C$26)+K44,0)</f>
        <v>0</v>
      </c>
      <c r="M44" s="161">
        <f>IF(M$6&lt;=Inicio!$D$13,+(L44*$C$26)+L44,0)</f>
        <v>0</v>
      </c>
      <c r="N44" s="161">
        <f>IF(N$6&lt;=Inicio!$D$13,+(M44*$C$26)+M44,0)</f>
        <v>0</v>
      </c>
      <c r="O44" s="161">
        <f>IF(O$6&lt;=Inicio!$D$13,+(N44*$C$26)+N44,0)</f>
        <v>0</v>
      </c>
      <c r="P44" s="161">
        <f>IF(P$6&lt;=Inicio!$D$13,+(O44*$C$26)+O44,0)</f>
        <v>0</v>
      </c>
      <c r="Q44" s="161">
        <f>IF(Q$6&lt;=Inicio!$D$13,+(P44*$C$26)+P44,0)</f>
        <v>0</v>
      </c>
      <c r="R44" s="152"/>
    </row>
    <row r="45" spans="2:18" ht="16.5" thickTop="1" thickBot="1" x14ac:dyDescent="0.3">
      <c r="B45" s="161">
        <f>+Inicio!E167</f>
        <v>0</v>
      </c>
      <c r="C45" s="161">
        <f>Inicio!F167</f>
        <v>0</v>
      </c>
      <c r="D45" s="161">
        <f>IF(D$6&lt;=Inicio!$D$13,+(C45*$C$26)+C45,0)</f>
        <v>0</v>
      </c>
      <c r="E45" s="161">
        <f>IF(E$6&lt;=Inicio!$D$13,+(D45*$C$26)+D45,0)</f>
        <v>0</v>
      </c>
      <c r="F45" s="161">
        <f>IF(F$6&lt;=Inicio!$D$13,+(E45*$C$26)+E45,0)</f>
        <v>0</v>
      </c>
      <c r="G45" s="161">
        <f>IF(G$6&lt;=Inicio!$D$13,+(F45*$C$26)+F45,0)</f>
        <v>0</v>
      </c>
      <c r="H45" s="161">
        <f>IF(H$6&lt;=Inicio!$D$13,+(G45*$C$26)+G45,0)</f>
        <v>0</v>
      </c>
      <c r="I45" s="161">
        <f>IF(I$6&lt;=Inicio!$D$13,+(H45*$C$26)+H45,0)</f>
        <v>0</v>
      </c>
      <c r="J45" s="161">
        <f>IF(J$6&lt;=Inicio!$D$13,+(I45*$C$26)+I45,0)</f>
        <v>0</v>
      </c>
      <c r="K45" s="161">
        <f>IF(K$6&lt;=Inicio!$D$13,+(J45*$C$26)+J45,0)</f>
        <v>0</v>
      </c>
      <c r="L45" s="161">
        <f>IF(L$6&lt;=Inicio!$D$13,+(K45*$C$26)+K45,0)</f>
        <v>0</v>
      </c>
      <c r="M45" s="161">
        <f>IF(M$6&lt;=Inicio!$D$13,+(L45*$C$26)+L45,0)</f>
        <v>0</v>
      </c>
      <c r="N45" s="161">
        <f>IF(N$6&lt;=Inicio!$D$13,+(M45*$C$26)+M45,0)</f>
        <v>0</v>
      </c>
      <c r="O45" s="161">
        <f>IF(O$6&lt;=Inicio!$D$13,+(N45*$C$26)+N45,0)</f>
        <v>0</v>
      </c>
      <c r="P45" s="161">
        <f>IF(P$6&lt;=Inicio!$D$13,+(O45*$C$26)+O45,0)</f>
        <v>0</v>
      </c>
      <c r="Q45" s="161">
        <f>IF(Q$6&lt;=Inicio!$D$13,+(P45*$C$26)+P45,0)</f>
        <v>0</v>
      </c>
      <c r="R45" s="152"/>
    </row>
    <row r="46" spans="2:18" ht="16.5" thickTop="1" thickBot="1" x14ac:dyDescent="0.3">
      <c r="B46" s="154" t="s">
        <v>59</v>
      </c>
      <c r="C46" s="162">
        <f t="shared" ref="C46:Q46" si="1">SUM(C29:C45)</f>
        <v>0</v>
      </c>
      <c r="D46" s="162">
        <f t="shared" si="1"/>
        <v>0</v>
      </c>
      <c r="E46" s="162">
        <f t="shared" si="1"/>
        <v>0</v>
      </c>
      <c r="F46" s="162" t="e">
        <f t="shared" si="1"/>
        <v>#VALUE!</v>
      </c>
      <c r="G46" s="162" t="e">
        <f t="shared" si="1"/>
        <v>#VALUE!</v>
      </c>
      <c r="H46" s="163">
        <f t="shared" si="1"/>
        <v>0</v>
      </c>
      <c r="I46" s="163">
        <f t="shared" si="1"/>
        <v>0</v>
      </c>
      <c r="J46" s="163">
        <f t="shared" si="1"/>
        <v>0</v>
      </c>
      <c r="K46" s="163">
        <f t="shared" si="1"/>
        <v>0</v>
      </c>
      <c r="L46" s="163">
        <f t="shared" si="1"/>
        <v>0</v>
      </c>
      <c r="M46" s="163">
        <f t="shared" si="1"/>
        <v>0</v>
      </c>
      <c r="N46" s="163">
        <f t="shared" si="1"/>
        <v>0</v>
      </c>
      <c r="O46" s="163">
        <f t="shared" si="1"/>
        <v>0</v>
      </c>
      <c r="P46" s="163">
        <f t="shared" si="1"/>
        <v>0</v>
      </c>
      <c r="Q46" s="163">
        <f t="shared" si="1"/>
        <v>0</v>
      </c>
      <c r="R46" s="88"/>
    </row>
    <row r="47" spans="2:18" ht="13.5" thickTop="1" x14ac:dyDescent="0.2">
      <c r="B47" s="156" t="s">
        <v>250</v>
      </c>
      <c r="C47" s="157">
        <f>Inicio!F165</f>
        <v>0</v>
      </c>
      <c r="D47" s="156" t="s">
        <v>251</v>
      </c>
      <c r="E47" s="157">
        <f>Inicio!F166</f>
        <v>0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</row>
    <row r="48" spans="2:18" ht="13.5" thickBot="1" x14ac:dyDescent="0.25">
      <c r="B48" s="156" t="s">
        <v>166</v>
      </c>
      <c r="C48" s="159">
        <f>Inicio!D148</f>
        <v>0.03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</row>
    <row r="49" spans="2:18" ht="19.5" thickBot="1" x14ac:dyDescent="0.35">
      <c r="B49" s="308" t="s">
        <v>283</v>
      </c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10"/>
      <c r="R49" s="88"/>
    </row>
    <row r="50" spans="2:18" ht="15.75" thickBot="1" x14ac:dyDescent="0.3">
      <c r="B50" s="160" t="s">
        <v>167</v>
      </c>
      <c r="C50" s="160">
        <v>1</v>
      </c>
      <c r="D50" s="160">
        <v>2</v>
      </c>
      <c r="E50" s="160">
        <v>3</v>
      </c>
      <c r="F50" s="160">
        <v>4</v>
      </c>
      <c r="G50" s="160">
        <v>5</v>
      </c>
      <c r="H50" s="160">
        <v>6</v>
      </c>
      <c r="I50" s="160">
        <v>7</v>
      </c>
      <c r="J50" s="160">
        <v>8</v>
      </c>
      <c r="K50" s="160">
        <v>9</v>
      </c>
      <c r="L50" s="160">
        <v>10</v>
      </c>
      <c r="M50" s="160">
        <v>11</v>
      </c>
      <c r="N50" s="160">
        <v>12</v>
      </c>
      <c r="O50" s="160">
        <v>13</v>
      </c>
      <c r="P50" s="160">
        <v>14</v>
      </c>
      <c r="Q50" s="160">
        <v>15</v>
      </c>
      <c r="R50" s="88"/>
    </row>
    <row r="51" spans="2:18" ht="16.5" thickTop="1" thickBot="1" x14ac:dyDescent="0.3">
      <c r="B51" s="164">
        <f>+Inicio!C171</f>
        <v>0</v>
      </c>
      <c r="C51" s="164">
        <f>IF(Inicio!$F$13="Años",(Inicio!D171*12),Inicio!D171)</f>
        <v>0</v>
      </c>
      <c r="D51" s="164">
        <f>IF(D$6&lt;=Inicio!$D$13,+(C51*$C$26)+C51,0)</f>
        <v>0</v>
      </c>
      <c r="E51" s="164">
        <f>IF(E$6&lt;=Inicio!$D$13,+(D51*$C$26)+D51,0)</f>
        <v>0</v>
      </c>
      <c r="F51" s="164">
        <f>IF(F$6&lt;=Inicio!$D$13,+(E51*$C$26)+E51,0)</f>
        <v>0</v>
      </c>
      <c r="G51" s="164">
        <f>IF(G$6&lt;=Inicio!$D$13,+(F51*$C$26)+F51,0)</f>
        <v>0</v>
      </c>
      <c r="H51" s="164">
        <f>IF(H$6&lt;=Inicio!$D$13,+(G51*$C$26)+G51,0)</f>
        <v>0</v>
      </c>
      <c r="I51" s="164">
        <f>IF(I$6&lt;=Inicio!$D$13,+(H51*$C$26)+H51,0)</f>
        <v>0</v>
      </c>
      <c r="J51" s="164">
        <f>IF(J$6&lt;=Inicio!$D$13,+(I51*$C$26)+I51,0)</f>
        <v>0</v>
      </c>
      <c r="K51" s="164">
        <f>IF(K$6&lt;=Inicio!$D$13,+(J51*$C$26)+J51,0)</f>
        <v>0</v>
      </c>
      <c r="L51" s="164">
        <f>IF(L$6&lt;=Inicio!$D$13,+(K51*$C$26)+K51,0)</f>
        <v>0</v>
      </c>
      <c r="M51" s="164">
        <f>IF(M$6&lt;=Inicio!$D$13,+(L51*$C$26)+L51,0)</f>
        <v>0</v>
      </c>
      <c r="N51" s="164">
        <f>IF(N$6&lt;=Inicio!$D$13,+(M51*$C$26)+M51,0)</f>
        <v>0</v>
      </c>
      <c r="O51" s="164">
        <f>IF(O$6&lt;=Inicio!$D$13,+(N51*$C$26)+N51,0)</f>
        <v>0</v>
      </c>
      <c r="P51" s="164">
        <f>IF(P$6&lt;=Inicio!$D$13,+(O51*$C$26)+O51,0)</f>
        <v>0</v>
      </c>
      <c r="Q51" s="164">
        <f>IF(Q$6&lt;=Inicio!$D$13,+(P51*$C$26)+P51,0)</f>
        <v>0</v>
      </c>
      <c r="R51" s="152"/>
    </row>
    <row r="52" spans="2:18" ht="16.5" thickTop="1" thickBot="1" x14ac:dyDescent="0.3">
      <c r="B52" s="164">
        <f>+Inicio!C172</f>
        <v>0</v>
      </c>
      <c r="C52" s="164">
        <f>IF(Inicio!$F$13="Años",(Inicio!D172*12),Inicio!D172)</f>
        <v>0</v>
      </c>
      <c r="D52" s="164">
        <f>IF(D$6&lt;=Inicio!$D$13,+(C52*$C$26)+C52,0)</f>
        <v>0</v>
      </c>
      <c r="E52" s="164">
        <f>IF(E$6&lt;=Inicio!$D$13,+(D52*$C$26)+D52,0)</f>
        <v>0</v>
      </c>
      <c r="F52" s="164">
        <f>IF(F$6&lt;=Inicio!$D$13,+(E52*$C$26)+E52,0)</f>
        <v>0</v>
      </c>
      <c r="G52" s="164">
        <f>IF(G$6&lt;=Inicio!$D$13,+(F52*$C$26)+F52,0)</f>
        <v>0</v>
      </c>
      <c r="H52" s="164">
        <f>IF(H$6&lt;=Inicio!$D$13,+(G52*$C$26)+G52,0)</f>
        <v>0</v>
      </c>
      <c r="I52" s="164">
        <f>IF(I$6&lt;=Inicio!$D$13,+(H52*$C$26)+H52,0)</f>
        <v>0</v>
      </c>
      <c r="J52" s="164">
        <f>IF(J$6&lt;=Inicio!$D$13,+(I52*$C$26)+I52,0)</f>
        <v>0</v>
      </c>
      <c r="K52" s="164">
        <f>IF(K$6&lt;=Inicio!$D$13,+(J52*$C$26)+J52,0)</f>
        <v>0</v>
      </c>
      <c r="L52" s="164">
        <f>IF(L$6&lt;=Inicio!$D$13,+(K52*$C$26)+K52,0)</f>
        <v>0</v>
      </c>
      <c r="M52" s="164">
        <f>IF(M$6&lt;=Inicio!$D$13,+(L52*$C$26)+L52,0)</f>
        <v>0</v>
      </c>
      <c r="N52" s="164">
        <f>IF(N$6&lt;=Inicio!$D$13,+(M52*$C$26)+M52,0)</f>
        <v>0</v>
      </c>
      <c r="O52" s="164">
        <f>IF(O$6&lt;=Inicio!$D$13,+(N52*$C$26)+N52,0)</f>
        <v>0</v>
      </c>
      <c r="P52" s="164">
        <f>IF(P$6&lt;=Inicio!$D$13,+(O52*$C$26)+O52,0)</f>
        <v>0</v>
      </c>
      <c r="Q52" s="164">
        <f>IF(Q$6&lt;=Inicio!$D$13,+(P52*$C$26)+P52,0)</f>
        <v>0</v>
      </c>
      <c r="R52" s="152"/>
    </row>
    <row r="53" spans="2:18" ht="16.5" thickTop="1" thickBot="1" x14ac:dyDescent="0.3">
      <c r="B53" s="164">
        <f>+Inicio!C173</f>
        <v>0</v>
      </c>
      <c r="C53" s="164">
        <f>IF(Inicio!$F$13="Años",(Inicio!D173*12),Inicio!D173)</f>
        <v>0</v>
      </c>
      <c r="D53" s="164">
        <f>IF(D$6&lt;=Inicio!$D$13,+(C53*$C$26)+C53,0)</f>
        <v>0</v>
      </c>
      <c r="E53" s="164">
        <f>IF(E$6&lt;=Inicio!$D$13,+(D53*$C$26)+D53,0)</f>
        <v>0</v>
      </c>
      <c r="F53" s="164">
        <f>IF(F$6&lt;=Inicio!$D$13,+(E53*$C$26)+E53,0)</f>
        <v>0</v>
      </c>
      <c r="G53" s="164">
        <f>IF(G$6&lt;=Inicio!$D$13,+(F53*$C$26)+F53,0)</f>
        <v>0</v>
      </c>
      <c r="H53" s="164">
        <f>IF(H$6&lt;=Inicio!$D$13,+(G53*$C$26)+G53,0)</f>
        <v>0</v>
      </c>
      <c r="I53" s="164">
        <f>IF(I$6&lt;=Inicio!$D$13,+(H53*$C$26)+H53,0)</f>
        <v>0</v>
      </c>
      <c r="J53" s="164">
        <f>IF(J$6&lt;=Inicio!$D$13,+(I53*$C$26)+I53,0)</f>
        <v>0</v>
      </c>
      <c r="K53" s="164">
        <f>IF(K$6&lt;=Inicio!$D$13,+(J53*$C$26)+J53,0)</f>
        <v>0</v>
      </c>
      <c r="L53" s="164">
        <f>IF(L$6&lt;=Inicio!$D$13,+(K53*$C$26)+K53,0)</f>
        <v>0</v>
      </c>
      <c r="M53" s="164">
        <f>IF(M$6&lt;=Inicio!$D$13,+(L53*$C$26)+L53,0)</f>
        <v>0</v>
      </c>
      <c r="N53" s="164">
        <f>IF(N$6&lt;=Inicio!$D$13,+(M53*$C$26)+M53,0)</f>
        <v>0</v>
      </c>
      <c r="O53" s="164">
        <f>IF(O$6&lt;=Inicio!$D$13,+(N53*$C$26)+N53,0)</f>
        <v>0</v>
      </c>
      <c r="P53" s="164">
        <f>IF(P$6&lt;=Inicio!$D$13,+(O53*$C$26)+O53,0)</f>
        <v>0</v>
      </c>
      <c r="Q53" s="164">
        <f>IF(Q$6&lt;=Inicio!$D$13,+(P53*$C$26)+P53,0)</f>
        <v>0</v>
      </c>
      <c r="R53" s="152"/>
    </row>
    <row r="54" spans="2:18" ht="16.5" thickTop="1" thickBot="1" x14ac:dyDescent="0.3">
      <c r="B54" s="164">
        <f>+Inicio!C174</f>
        <v>0</v>
      </c>
      <c r="C54" s="164">
        <f>IF(Inicio!$F$13="Años",(Inicio!D174*12),Inicio!D174)</f>
        <v>0</v>
      </c>
      <c r="D54" s="164">
        <f>IF(D$6&lt;=Inicio!$D$13,+(C54*$C$26)+C54,0)</f>
        <v>0</v>
      </c>
      <c r="E54" s="164">
        <f>IF(E$6&lt;=Inicio!$D$13,+(D54*$C$26)+D54,0)</f>
        <v>0</v>
      </c>
      <c r="F54" s="164">
        <f>IF(F$6&lt;=Inicio!$D$13,+(E54*$C$26)+E54,0)</f>
        <v>0</v>
      </c>
      <c r="G54" s="164">
        <f>IF(G$6&lt;=Inicio!$D$13,+(F54*$C$26)+F54,0)</f>
        <v>0</v>
      </c>
      <c r="H54" s="164">
        <f>IF(H$6&lt;=Inicio!$D$13,+(G54*$C$26)+G54,0)</f>
        <v>0</v>
      </c>
      <c r="I54" s="164">
        <f>IF(I$6&lt;=Inicio!$D$13,+(H54*$C$26)+H54,0)</f>
        <v>0</v>
      </c>
      <c r="J54" s="164">
        <f>IF(J$6&lt;=Inicio!$D$13,+(I54*$C$26)+I54,0)</f>
        <v>0</v>
      </c>
      <c r="K54" s="164">
        <f>IF(K$6&lt;=Inicio!$D$13,+(J54*$C$26)+J54,0)</f>
        <v>0</v>
      </c>
      <c r="L54" s="164">
        <f>IF(L$6&lt;=Inicio!$D$13,+(K54*$C$26)+K54,0)</f>
        <v>0</v>
      </c>
      <c r="M54" s="164">
        <f>IF(M$6&lt;=Inicio!$D$13,+(L54*$C$26)+L54,0)</f>
        <v>0</v>
      </c>
      <c r="N54" s="164">
        <f>IF(N$6&lt;=Inicio!$D$13,+(M54*$C$26)+M54,0)</f>
        <v>0</v>
      </c>
      <c r="O54" s="164">
        <f>IF(O$6&lt;=Inicio!$D$13,+(N54*$C$26)+N54,0)</f>
        <v>0</v>
      </c>
      <c r="P54" s="164">
        <f>IF(P$6&lt;=Inicio!$D$13,+(O54*$C$26)+O54,0)</f>
        <v>0</v>
      </c>
      <c r="Q54" s="164">
        <f>IF(Q$6&lt;=Inicio!$D$13,+(P54*$C$26)+P54,0)</f>
        <v>0</v>
      </c>
      <c r="R54" s="152"/>
    </row>
    <row r="55" spans="2:18" ht="16.5" thickTop="1" thickBot="1" x14ac:dyDescent="0.3">
      <c r="B55" s="164">
        <f>+Inicio!C175</f>
        <v>0</v>
      </c>
      <c r="C55" s="164">
        <f>IF(Inicio!$F$13="Años",(Inicio!D175*12),Inicio!D175)</f>
        <v>0</v>
      </c>
      <c r="D55" s="164">
        <f>IF(D$6&lt;=Inicio!$D$13,+(C55*$C$26)+C55,0)</f>
        <v>0</v>
      </c>
      <c r="E55" s="164">
        <f>IF(E$6&lt;=Inicio!$D$13,+(D55*$C$26)+D55,0)</f>
        <v>0</v>
      </c>
      <c r="F55" s="164">
        <f>IF(F$6&lt;=Inicio!$D$13,+(E55*$C$26)+E55,0)</f>
        <v>0</v>
      </c>
      <c r="G55" s="164">
        <f>IF(G$6&lt;=Inicio!$D$13,+(F55*$C$26)+F55,0)</f>
        <v>0</v>
      </c>
      <c r="H55" s="164">
        <f>IF(H$6&lt;=Inicio!$D$13,+(G55*$C$26)+G55,0)</f>
        <v>0</v>
      </c>
      <c r="I55" s="164">
        <f>IF(I$6&lt;=Inicio!$D$13,+(H55*$C$26)+H55,0)</f>
        <v>0</v>
      </c>
      <c r="J55" s="164">
        <f>IF(J$6&lt;=Inicio!$D$13,+(I55*$C$26)+I55,0)</f>
        <v>0</v>
      </c>
      <c r="K55" s="164">
        <f>IF(K$6&lt;=Inicio!$D$13,+(J55*$C$26)+J55,0)</f>
        <v>0</v>
      </c>
      <c r="L55" s="164">
        <f>IF(L$6&lt;=Inicio!$D$13,+(K55*$C$26)+K55,0)</f>
        <v>0</v>
      </c>
      <c r="M55" s="164">
        <f>IF(M$6&lt;=Inicio!$D$13,+(L55*$C$26)+L55,0)</f>
        <v>0</v>
      </c>
      <c r="N55" s="164">
        <f>IF(N$6&lt;=Inicio!$D$13,+(M55*$C$26)+M55,0)</f>
        <v>0</v>
      </c>
      <c r="O55" s="164">
        <f>IF(O$6&lt;=Inicio!$D$13,+(N55*$C$26)+N55,0)</f>
        <v>0</v>
      </c>
      <c r="P55" s="164">
        <f>IF(P$6&lt;=Inicio!$D$13,+(O55*$C$26)+O55,0)</f>
        <v>0</v>
      </c>
      <c r="Q55" s="164">
        <f>IF(Q$6&lt;=Inicio!$D$13,+(P55*$C$26)+P55,0)</f>
        <v>0</v>
      </c>
      <c r="R55" s="152"/>
    </row>
    <row r="56" spans="2:18" ht="16.5" thickTop="1" thickBot="1" x14ac:dyDescent="0.3">
      <c r="B56" s="164">
        <f>+Inicio!C176</f>
        <v>0</v>
      </c>
      <c r="C56" s="164">
        <f>IF(Inicio!$F$13="Años",(Inicio!D176*12),Inicio!D176)</f>
        <v>0</v>
      </c>
      <c r="D56" s="164">
        <f>IF(D$6&lt;=Inicio!$D$13,+(C56*$C$26)+C56,0)</f>
        <v>0</v>
      </c>
      <c r="E56" s="164">
        <f>IF(E$6&lt;=Inicio!$D$13,+(D56*$C$26)+D56,0)</f>
        <v>0</v>
      </c>
      <c r="F56" s="164">
        <f>IF(F$6&lt;=Inicio!$D$13,+(E56*$C$26)+E56,0)</f>
        <v>0</v>
      </c>
      <c r="G56" s="164">
        <f>IF(G$6&lt;=Inicio!$D$13,+(F56*$C$26)+F56,0)</f>
        <v>0</v>
      </c>
      <c r="H56" s="164">
        <f>IF(H$6&lt;=Inicio!$D$13,+(G56*$C$26)+G56,0)</f>
        <v>0</v>
      </c>
      <c r="I56" s="164">
        <f>IF(I$6&lt;=Inicio!$D$13,+(H56*$C$26)+H56,0)</f>
        <v>0</v>
      </c>
      <c r="J56" s="164">
        <f>IF(J$6&lt;=Inicio!$D$13,+(I56*$C$26)+I56,0)</f>
        <v>0</v>
      </c>
      <c r="K56" s="164">
        <f>IF(K$6&lt;=Inicio!$D$13,+(J56*$C$26)+J56,0)</f>
        <v>0</v>
      </c>
      <c r="L56" s="164">
        <f>IF(L$6&lt;=Inicio!$D$13,+(K56*$C$26)+K56,0)</f>
        <v>0</v>
      </c>
      <c r="M56" s="164">
        <f>IF(M$6&lt;=Inicio!$D$13,+(L56*$C$26)+L56,0)</f>
        <v>0</v>
      </c>
      <c r="N56" s="164">
        <f>IF(N$6&lt;=Inicio!$D$13,+(M56*$C$26)+M56,0)</f>
        <v>0</v>
      </c>
      <c r="O56" s="164">
        <f>IF(O$6&lt;=Inicio!$D$13,+(N56*$C$26)+N56,0)</f>
        <v>0</v>
      </c>
      <c r="P56" s="164">
        <f>IF(P$6&lt;=Inicio!$D$13,+(O56*$C$26)+O56,0)</f>
        <v>0</v>
      </c>
      <c r="Q56" s="164">
        <f>IF(Q$6&lt;=Inicio!$D$13,+(P56*$C$26)+P56,0)</f>
        <v>0</v>
      </c>
      <c r="R56" s="152"/>
    </row>
    <row r="57" spans="2:18" ht="16.5" thickTop="1" thickBot="1" x14ac:dyDescent="0.3">
      <c r="B57" s="164">
        <f>+Inicio!C177</f>
        <v>0</v>
      </c>
      <c r="C57" s="164">
        <f>IF(Inicio!$F$13="Años",(Inicio!D177*12),Inicio!D177)</f>
        <v>0</v>
      </c>
      <c r="D57" s="164">
        <f>IF(D$6&lt;=Inicio!$D$13,+(C57*$C$26)+C57,0)</f>
        <v>0</v>
      </c>
      <c r="E57" s="164">
        <f>IF(E$6&lt;=Inicio!$D$13,+(D57*$C$26)+D57,0)</f>
        <v>0</v>
      </c>
      <c r="F57" s="164">
        <f>IF(F$6&lt;=Inicio!$D$13,+(E57*$C$26)+E57,0)</f>
        <v>0</v>
      </c>
      <c r="G57" s="164">
        <f>IF(G$6&lt;=Inicio!$D$13,+(F57*$C$26)+F57,0)</f>
        <v>0</v>
      </c>
      <c r="H57" s="164">
        <f>IF(H$6&lt;=Inicio!$D$13,+(G57*$C$26)+G57,0)</f>
        <v>0</v>
      </c>
      <c r="I57" s="164">
        <f>IF(I$6&lt;=Inicio!$D$13,+(H57*$C$26)+H57,0)</f>
        <v>0</v>
      </c>
      <c r="J57" s="164">
        <f>IF(J$6&lt;=Inicio!$D$13,+(I57*$C$26)+I57,0)</f>
        <v>0</v>
      </c>
      <c r="K57" s="164">
        <f>IF(K$6&lt;=Inicio!$D$13,+(J57*$C$26)+J57,0)</f>
        <v>0</v>
      </c>
      <c r="L57" s="164">
        <f>IF(L$6&lt;=Inicio!$D$13,+(K57*$C$26)+K57,0)</f>
        <v>0</v>
      </c>
      <c r="M57" s="164">
        <f>IF(M$6&lt;=Inicio!$D$13,+(L57*$C$26)+L57,0)</f>
        <v>0</v>
      </c>
      <c r="N57" s="164">
        <f>IF(N$6&lt;=Inicio!$D$13,+(M57*$C$26)+M57,0)</f>
        <v>0</v>
      </c>
      <c r="O57" s="164">
        <f>IF(O$6&lt;=Inicio!$D$13,+(N57*$C$26)+N57,0)</f>
        <v>0</v>
      </c>
      <c r="P57" s="164">
        <f>IF(P$6&lt;=Inicio!$D$13,+(O57*$C$26)+O57,0)</f>
        <v>0</v>
      </c>
      <c r="Q57" s="164">
        <f>IF(Q$6&lt;=Inicio!$D$13,+(P57*$C$26)+P57,0)</f>
        <v>0</v>
      </c>
      <c r="R57" s="152"/>
    </row>
    <row r="58" spans="2:18" ht="16.5" thickTop="1" thickBot="1" x14ac:dyDescent="0.3">
      <c r="B58" s="164">
        <f>+Inicio!C178</f>
        <v>0</v>
      </c>
      <c r="C58" s="164">
        <f>IF(Inicio!$F$13="Años",(Inicio!D178*12),Inicio!D178)</f>
        <v>0</v>
      </c>
      <c r="D58" s="164">
        <f>IF(D$6&lt;=Inicio!$D$13,+(C58*$C$26)+C58,0)</f>
        <v>0</v>
      </c>
      <c r="E58" s="164">
        <f>IF(E$6&lt;=Inicio!$D$13,+(D58*$C$26)+D58,0)</f>
        <v>0</v>
      </c>
      <c r="F58" s="164">
        <f>IF(F$6&lt;=Inicio!$D$13,+(E58*$C$26)+E58,0)</f>
        <v>0</v>
      </c>
      <c r="G58" s="164">
        <f>IF(G$6&lt;=Inicio!$D$13,+(F58*$C$26)+F58,0)</f>
        <v>0</v>
      </c>
      <c r="H58" s="164">
        <f>IF(H$6&lt;=Inicio!$D$13,+(G58*$C$26)+G58,0)</f>
        <v>0</v>
      </c>
      <c r="I58" s="164">
        <f>IF(I$6&lt;=Inicio!$D$13,+(H58*$C$26)+H58,0)</f>
        <v>0</v>
      </c>
      <c r="J58" s="164">
        <f>IF(J$6&lt;=Inicio!$D$13,+(I58*$C$26)+I58,0)</f>
        <v>0</v>
      </c>
      <c r="K58" s="164">
        <f>IF(K$6&lt;=Inicio!$D$13,+(J58*$C$26)+J58,0)</f>
        <v>0</v>
      </c>
      <c r="L58" s="164">
        <f>IF(L$6&lt;=Inicio!$D$13,+(K58*$C$26)+K58,0)</f>
        <v>0</v>
      </c>
      <c r="M58" s="164">
        <f>IF(M$6&lt;=Inicio!$D$13,+(L58*$C$26)+L58,0)</f>
        <v>0</v>
      </c>
      <c r="N58" s="164">
        <f>IF(N$6&lt;=Inicio!$D$13,+(M58*$C$26)+M58,0)</f>
        <v>0</v>
      </c>
      <c r="O58" s="164">
        <f>IF(O$6&lt;=Inicio!$D$13,+(N58*$C$26)+N58,0)</f>
        <v>0</v>
      </c>
      <c r="P58" s="164">
        <f>IF(P$6&lt;=Inicio!$D$13,+(O58*$C$26)+O58,0)</f>
        <v>0</v>
      </c>
      <c r="Q58" s="164">
        <f>IF(Q$6&lt;=Inicio!$D$13,+(P58*$C$26)+P58,0)</f>
        <v>0</v>
      </c>
      <c r="R58" s="152"/>
    </row>
    <row r="59" spans="2:18" ht="16.5" thickTop="1" thickBot="1" x14ac:dyDescent="0.3">
      <c r="B59" s="164">
        <f>+Inicio!C179</f>
        <v>0</v>
      </c>
      <c r="C59" s="164">
        <f>IF(Inicio!$F$13="Años",(Inicio!D179*12),Inicio!D179)</f>
        <v>0</v>
      </c>
      <c r="D59" s="164">
        <f>IF(D$6&lt;=Inicio!$D$13,+(C59*$C$26)+C59,0)</f>
        <v>0</v>
      </c>
      <c r="E59" s="164">
        <f>IF(E$6&lt;=Inicio!$D$13,+(D59*$C$26)+D59,0)</f>
        <v>0</v>
      </c>
      <c r="F59" s="164">
        <f>IF(F$6&lt;=Inicio!$D$13,+(E59*$C$26)+E59,0)</f>
        <v>0</v>
      </c>
      <c r="G59" s="164">
        <f>IF(G$6&lt;=Inicio!$D$13,+(F59*$C$26)+F59,0)</f>
        <v>0</v>
      </c>
      <c r="H59" s="164">
        <f>IF(H$6&lt;=Inicio!$D$13,+(G59*$C$26)+G59,0)</f>
        <v>0</v>
      </c>
      <c r="I59" s="164">
        <f>IF(I$6&lt;=Inicio!$D$13,+(H59*$C$26)+H59,0)</f>
        <v>0</v>
      </c>
      <c r="J59" s="164">
        <f>IF(J$6&lt;=Inicio!$D$13,+(I59*$C$26)+I59,0)</f>
        <v>0</v>
      </c>
      <c r="K59" s="164">
        <f>IF(K$6&lt;=Inicio!$D$13,+(J59*$C$26)+J59,0)</f>
        <v>0</v>
      </c>
      <c r="L59" s="164">
        <f>IF(L$6&lt;=Inicio!$D$13,+(K59*$C$26)+K59,0)</f>
        <v>0</v>
      </c>
      <c r="M59" s="164">
        <f>IF(M$6&lt;=Inicio!$D$13,+(L59*$C$26)+L59,0)</f>
        <v>0</v>
      </c>
      <c r="N59" s="164">
        <f>IF(N$6&lt;=Inicio!$D$13,+(M59*$C$26)+M59,0)</f>
        <v>0</v>
      </c>
      <c r="O59" s="164">
        <f>IF(O$6&lt;=Inicio!$D$13,+(N59*$C$26)+N59,0)</f>
        <v>0</v>
      </c>
      <c r="P59" s="164">
        <f>IF(P$6&lt;=Inicio!$D$13,+(O59*$C$26)+O59,0)</f>
        <v>0</v>
      </c>
      <c r="Q59" s="164">
        <f>IF(Q$6&lt;=Inicio!$D$13,+(P59*$C$26)+P59,0)</f>
        <v>0</v>
      </c>
      <c r="R59" s="152"/>
    </row>
    <row r="60" spans="2:18" ht="16.5" thickTop="1" thickBot="1" x14ac:dyDescent="0.3">
      <c r="B60" s="164">
        <f>+Inicio!C180</f>
        <v>0</v>
      </c>
      <c r="C60" s="164">
        <f>IF(Inicio!$F$13="Años",(Inicio!D180*12),Inicio!D180)</f>
        <v>0</v>
      </c>
      <c r="D60" s="164">
        <f>IF(D$6&lt;=Inicio!$D$13,+(C60*$C$26)+C60,0)</f>
        <v>0</v>
      </c>
      <c r="E60" s="164">
        <f>IF(E$6&lt;=Inicio!$D$13,+(D60*$C$26)+D60,0)</f>
        <v>0</v>
      </c>
      <c r="F60" s="164">
        <f>IF(F$6&lt;=Inicio!$D$13,+(E60*$C$26)+E60,0)</f>
        <v>0</v>
      </c>
      <c r="G60" s="164">
        <f>IF(G$6&lt;=Inicio!$D$13,+(F60*$C$26)+F60,0)</f>
        <v>0</v>
      </c>
      <c r="H60" s="164">
        <f>IF(H$6&lt;=Inicio!$D$13,+(G60*$C$26)+G60,0)</f>
        <v>0</v>
      </c>
      <c r="I60" s="164">
        <f>IF(I$6&lt;=Inicio!$D$13,+(H60*$C$26)+H60,0)</f>
        <v>0</v>
      </c>
      <c r="J60" s="164">
        <f>IF(J$6&lt;=Inicio!$D$13,+(I60*$C$26)+I60,0)</f>
        <v>0</v>
      </c>
      <c r="K60" s="164">
        <f>IF(K$6&lt;=Inicio!$D$13,+(J60*$C$26)+J60,0)</f>
        <v>0</v>
      </c>
      <c r="L60" s="164">
        <f>IF(L$6&lt;=Inicio!$D$13,+(K60*$C$26)+K60,0)</f>
        <v>0</v>
      </c>
      <c r="M60" s="164">
        <f>IF(M$6&lt;=Inicio!$D$13,+(L60*$C$26)+L60,0)</f>
        <v>0</v>
      </c>
      <c r="N60" s="164">
        <f>IF(N$6&lt;=Inicio!$D$13,+(M60*$C$26)+M60,0)</f>
        <v>0</v>
      </c>
      <c r="O60" s="164">
        <f>IF(O$6&lt;=Inicio!$D$13,+(N60*$C$26)+N60,0)</f>
        <v>0</v>
      </c>
      <c r="P60" s="164">
        <f>IF(P$6&lt;=Inicio!$D$13,+(O60*$C$26)+O60,0)</f>
        <v>0</v>
      </c>
      <c r="Q60" s="164">
        <f>IF(Q$6&lt;=Inicio!$D$13,+(P60*$C$26)+P60,0)</f>
        <v>0</v>
      </c>
      <c r="R60" s="152"/>
    </row>
    <row r="61" spans="2:18" ht="16.5" thickTop="1" thickBot="1" x14ac:dyDescent="0.3">
      <c r="B61" s="164">
        <f>+Inicio!C181</f>
        <v>0</v>
      </c>
      <c r="C61" s="164">
        <f>IF(Inicio!$F$13="Años",(Inicio!D181*12),Inicio!D181)</f>
        <v>0</v>
      </c>
      <c r="D61" s="164">
        <f>IF(D$6&lt;=Inicio!$D$13,+(C61*$C$26)+C61,0)</f>
        <v>0</v>
      </c>
      <c r="E61" s="164">
        <f>IF(E$6&lt;=Inicio!$D$13,+(D61*$C$26)+D61,0)</f>
        <v>0</v>
      </c>
      <c r="F61" s="164">
        <f>IF(F$6&lt;=Inicio!$D$13,+(E61*$C$26)+E61,0)</f>
        <v>0</v>
      </c>
      <c r="G61" s="164">
        <f>IF(G$6&lt;=Inicio!$D$13,+(F61*$C$26)+F61,0)</f>
        <v>0</v>
      </c>
      <c r="H61" s="164">
        <f>IF(H$6&lt;=Inicio!$D$13,+(G61*$C$26)+G61,0)</f>
        <v>0</v>
      </c>
      <c r="I61" s="164">
        <f>IF(I$6&lt;=Inicio!$D$13,+(H61*$C$26)+H61,0)</f>
        <v>0</v>
      </c>
      <c r="J61" s="164">
        <f>IF(J$6&lt;=Inicio!$D$13,+(I61*$C$26)+I61,0)</f>
        <v>0</v>
      </c>
      <c r="K61" s="164">
        <f>IF(K$6&lt;=Inicio!$D$13,+(J61*$C$26)+J61,0)</f>
        <v>0</v>
      </c>
      <c r="L61" s="164">
        <f>IF(L$6&lt;=Inicio!$D$13,+(K61*$C$26)+K61,0)</f>
        <v>0</v>
      </c>
      <c r="M61" s="164">
        <f>IF(M$6&lt;=Inicio!$D$13,+(L61*$C$26)+L61,0)</f>
        <v>0</v>
      </c>
      <c r="N61" s="164">
        <f>IF(N$6&lt;=Inicio!$D$13,+(M61*$C$26)+M61,0)</f>
        <v>0</v>
      </c>
      <c r="O61" s="164">
        <f>IF(O$6&lt;=Inicio!$D$13,+(N61*$C$26)+N61,0)</f>
        <v>0</v>
      </c>
      <c r="P61" s="164">
        <f>IF(P$6&lt;=Inicio!$D$13,+(O61*$C$26)+O61,0)</f>
        <v>0</v>
      </c>
      <c r="Q61" s="164">
        <f>IF(Q$6&lt;=Inicio!$D$13,+(P61*$C$26)+P61,0)</f>
        <v>0</v>
      </c>
      <c r="R61" s="152"/>
    </row>
    <row r="62" spans="2:18" ht="16.5" thickTop="1" thickBot="1" x14ac:dyDescent="0.3">
      <c r="B62" s="164">
        <f>+Inicio!C182</f>
        <v>0</v>
      </c>
      <c r="C62" s="164">
        <f>IF(Inicio!$F$13="Años",(Inicio!D182*12),Inicio!D182)</f>
        <v>0</v>
      </c>
      <c r="D62" s="164">
        <f>IF(D$6&lt;=Inicio!$D$13,+(C62*$C$26)+C62,0)</f>
        <v>0</v>
      </c>
      <c r="E62" s="164">
        <f>IF(E$6&lt;=Inicio!$D$13,+(D62*$C$26)+D62,0)</f>
        <v>0</v>
      </c>
      <c r="F62" s="164">
        <f>IF(F$6&lt;=Inicio!$D$13,+(E62*$C$26)+E62,0)</f>
        <v>0</v>
      </c>
      <c r="G62" s="164">
        <f>IF(G$6&lt;=Inicio!$D$13,+(F62*$C$26)+F62,0)</f>
        <v>0</v>
      </c>
      <c r="H62" s="164">
        <f>IF(H$6&lt;=Inicio!$D$13,+(G62*$C$26)+G62,0)</f>
        <v>0</v>
      </c>
      <c r="I62" s="164">
        <f>IF(I$6&lt;=Inicio!$D$13,+(H62*$C$26)+H62,0)</f>
        <v>0</v>
      </c>
      <c r="J62" s="164">
        <f>IF(J$6&lt;=Inicio!$D$13,+(I62*$C$26)+I62,0)</f>
        <v>0</v>
      </c>
      <c r="K62" s="164">
        <f>IF(K$6&lt;=Inicio!$D$13,+(J62*$C$26)+J62,0)</f>
        <v>0</v>
      </c>
      <c r="L62" s="164">
        <f>IF(L$6&lt;=Inicio!$D$13,+(K62*$C$26)+K62,0)</f>
        <v>0</v>
      </c>
      <c r="M62" s="164">
        <f>IF(M$6&lt;=Inicio!$D$13,+(L62*$C$26)+L62,0)</f>
        <v>0</v>
      </c>
      <c r="N62" s="164">
        <f>IF(N$6&lt;=Inicio!$D$13,+(M62*$C$26)+M62,0)</f>
        <v>0</v>
      </c>
      <c r="O62" s="164">
        <f>IF(O$6&lt;=Inicio!$D$13,+(N62*$C$26)+N62,0)</f>
        <v>0</v>
      </c>
      <c r="P62" s="164">
        <f>IF(P$6&lt;=Inicio!$D$13,+(O62*$C$26)+O62,0)</f>
        <v>0</v>
      </c>
      <c r="Q62" s="164">
        <f>IF(Q$6&lt;=Inicio!$D$13,+(P62*$C$26)+P62,0)</f>
        <v>0</v>
      </c>
      <c r="R62" s="152"/>
    </row>
    <row r="63" spans="2:18" ht="16.5" thickTop="1" thickBot="1" x14ac:dyDescent="0.3">
      <c r="B63" s="164">
        <f>+Inicio!C183</f>
        <v>0</v>
      </c>
      <c r="C63" s="164">
        <f>IF(Inicio!$F$13="Años",(Inicio!D183*12),Inicio!D183)</f>
        <v>0</v>
      </c>
      <c r="D63" s="164">
        <f>IF(D$6&lt;=Inicio!$D$13,+(C63*$C$26)+C63,0)</f>
        <v>0</v>
      </c>
      <c r="E63" s="164">
        <f>IF(E$6&lt;=Inicio!$D$13,+(D63*$C$26)+D63,0)</f>
        <v>0</v>
      </c>
      <c r="F63" s="164">
        <f>IF(F$6&lt;=Inicio!$D$13,+(E63*$C$26)+E63,0)</f>
        <v>0</v>
      </c>
      <c r="G63" s="164">
        <f>IF(G$6&lt;=Inicio!$D$13,+(F63*$C$26)+F63,0)</f>
        <v>0</v>
      </c>
      <c r="H63" s="164">
        <f>IF(H$6&lt;=Inicio!$D$13,+(G63*$C$26)+G63,0)</f>
        <v>0</v>
      </c>
      <c r="I63" s="164">
        <f>IF(I$6&lt;=Inicio!$D$13,+(H63*$C$26)+H63,0)</f>
        <v>0</v>
      </c>
      <c r="J63" s="164">
        <f>IF(J$6&lt;=Inicio!$D$13,+(I63*$C$26)+I63,0)</f>
        <v>0</v>
      </c>
      <c r="K63" s="164">
        <f>IF(K$6&lt;=Inicio!$D$13,+(J63*$C$26)+J63,0)</f>
        <v>0</v>
      </c>
      <c r="L63" s="164">
        <f>IF(L$6&lt;=Inicio!$D$13,+(K63*$C$26)+K63,0)</f>
        <v>0</v>
      </c>
      <c r="M63" s="164">
        <f>IF(M$6&lt;=Inicio!$D$13,+(L63*$C$26)+L63,0)</f>
        <v>0</v>
      </c>
      <c r="N63" s="164">
        <f>IF(N$6&lt;=Inicio!$D$13,+(M63*$C$26)+M63,0)</f>
        <v>0</v>
      </c>
      <c r="O63" s="164">
        <f>IF(O$6&lt;=Inicio!$D$13,+(N63*$C$26)+N63,0)</f>
        <v>0</v>
      </c>
      <c r="P63" s="164">
        <f>IF(P$6&lt;=Inicio!$D$13,+(O63*$C$26)+O63,0)</f>
        <v>0</v>
      </c>
      <c r="Q63" s="164">
        <f>IF(Q$6&lt;=Inicio!$D$13,+(P63*$C$26)+P63,0)</f>
        <v>0</v>
      </c>
      <c r="R63" s="152"/>
    </row>
    <row r="64" spans="2:18" ht="16.5" thickTop="1" thickBot="1" x14ac:dyDescent="0.3">
      <c r="B64" s="164">
        <f>+Inicio!C184</f>
        <v>0</v>
      </c>
      <c r="C64" s="164">
        <f>IF(Inicio!$F$13="Años",(Inicio!D184*12),Inicio!D184)</f>
        <v>0</v>
      </c>
      <c r="D64" s="164">
        <f>IF(D$6&lt;=Inicio!$D$13,+(C64*$C$26)+C64,0)</f>
        <v>0</v>
      </c>
      <c r="E64" s="164">
        <f>IF(E$6&lt;=Inicio!$D$13,+(D64*$C$26)+D64,0)</f>
        <v>0</v>
      </c>
      <c r="F64" s="164">
        <f>IF(F$6&lt;=Inicio!$D$13,+(E64*$C$26)+E64,0)</f>
        <v>0</v>
      </c>
      <c r="G64" s="164">
        <f>IF(G$6&lt;=Inicio!$D$13,+(F64*$C$26)+F64,0)</f>
        <v>0</v>
      </c>
      <c r="H64" s="164">
        <f>IF(H$6&lt;=Inicio!$D$13,+(G64*$C$26)+G64,0)</f>
        <v>0</v>
      </c>
      <c r="I64" s="164">
        <f>IF(I$6&lt;=Inicio!$D$13,+(H64*$C$26)+H64,0)</f>
        <v>0</v>
      </c>
      <c r="J64" s="164">
        <f>IF(J$6&lt;=Inicio!$D$13,+(I64*$C$26)+I64,0)</f>
        <v>0</v>
      </c>
      <c r="K64" s="164">
        <f>IF(K$6&lt;=Inicio!$D$13,+(J64*$C$26)+J64,0)</f>
        <v>0</v>
      </c>
      <c r="L64" s="164">
        <f>IF(L$6&lt;=Inicio!$D$13,+(K64*$C$26)+K64,0)</f>
        <v>0</v>
      </c>
      <c r="M64" s="164">
        <f>IF(M$6&lt;=Inicio!$D$13,+(L64*$C$26)+L64,0)</f>
        <v>0</v>
      </c>
      <c r="N64" s="164">
        <f>IF(N$6&lt;=Inicio!$D$13,+(M64*$C$26)+M64,0)</f>
        <v>0</v>
      </c>
      <c r="O64" s="164">
        <f>IF(O$6&lt;=Inicio!$D$13,+(N64*$C$26)+N64,0)</f>
        <v>0</v>
      </c>
      <c r="P64" s="164">
        <f>IF(P$6&lt;=Inicio!$D$13,+(O64*$C$26)+O64,0)</f>
        <v>0</v>
      </c>
      <c r="Q64" s="164">
        <f>IF(Q$6&lt;=Inicio!$D$13,+(P64*$C$26)+P64,0)</f>
        <v>0</v>
      </c>
      <c r="R64" s="152"/>
    </row>
    <row r="65" spans="2:18" ht="16.5" thickTop="1" thickBot="1" x14ac:dyDescent="0.3">
      <c r="B65" s="164">
        <f>+Inicio!C185</f>
        <v>0</v>
      </c>
      <c r="C65" s="164">
        <f>IF(C$6&lt;=Inicio!$D$13,+('presupuesto compras y ventas'!C47*$C$69)+($E$69*'presupuesto compras y ventas'!C46),0)</f>
        <v>0</v>
      </c>
      <c r="D65" s="164">
        <f>IF(D$6&lt;=Inicio!$D$13,+('presupuesto compras y ventas'!D47*$C$69)+($E$69*'presupuesto compras y ventas'!D46),0)</f>
        <v>0</v>
      </c>
      <c r="E65" s="164">
        <f>IF(E$6&lt;=Inicio!$D$13,+('presupuesto compras y ventas'!E47*$C$69)+($E$69*'presupuesto compras y ventas'!E46),0)</f>
        <v>0</v>
      </c>
      <c r="F65" s="164">
        <f>IF(F$6&lt;=Inicio!$D$13,+('presupuesto compras y ventas'!F47*$C$69)+($E$69*'presupuesto compras y ventas'!F46),0)</f>
        <v>0</v>
      </c>
      <c r="G65" s="164">
        <f>IF(G$6&lt;=Inicio!$D$13,+('presupuesto compras y ventas'!G47*$C$69)+($E$69*'presupuesto compras y ventas'!G46),0)</f>
        <v>0</v>
      </c>
      <c r="H65" s="164">
        <f>IF(H$6&lt;=Inicio!$D$13,+('presupuesto compras y ventas'!H47*$C$69)+($E$69*'presupuesto compras y ventas'!H46),0)</f>
        <v>0</v>
      </c>
      <c r="I65" s="164">
        <f>IF(I$6&lt;=Inicio!$D$13,+('presupuesto compras y ventas'!I47*$C$69)+($E$69*'presupuesto compras y ventas'!I46),0)</f>
        <v>0</v>
      </c>
      <c r="J65" s="164">
        <f>IF(J$6&lt;=Inicio!$D$13,+('presupuesto compras y ventas'!J47*$C$69)+($E$69*'presupuesto compras y ventas'!J46),0)</f>
        <v>0</v>
      </c>
      <c r="K65" s="164">
        <f>IF(K$6&lt;=Inicio!$D$13,+('presupuesto compras y ventas'!K47*$C$69)+($E$69*'presupuesto compras y ventas'!K46),0)</f>
        <v>0</v>
      </c>
      <c r="L65" s="164">
        <f>IF(L$6&lt;=Inicio!$D$13,+('presupuesto compras y ventas'!L47*$C$69)+($E$69*'presupuesto compras y ventas'!L46),0)</f>
        <v>0</v>
      </c>
      <c r="M65" s="164">
        <f>IF(M$6&lt;=Inicio!$D$13,+('presupuesto compras y ventas'!M47*$C$69)+($E$69*'presupuesto compras y ventas'!M46),0)</f>
        <v>0</v>
      </c>
      <c r="N65" s="164">
        <f>IF(N$6&lt;=Inicio!$D$13,+('presupuesto compras y ventas'!N47*$C$69)+($E$69*'presupuesto compras y ventas'!N46),0)</f>
        <v>0</v>
      </c>
      <c r="O65" s="164">
        <f>IF(O$6&lt;=Inicio!$D$13,+('presupuesto compras y ventas'!O47*$C$69)+($E$69*'presupuesto compras y ventas'!O46),0)</f>
        <v>0</v>
      </c>
      <c r="P65" s="164">
        <f>IF(P$6&lt;=Inicio!$D$13,+('presupuesto compras y ventas'!P47*$C$69)+($E$69*'presupuesto compras y ventas'!P46),0)</f>
        <v>0</v>
      </c>
      <c r="Q65" s="164">
        <f>IF(Q$6&lt;=Inicio!$D$13,+('presupuesto compras y ventas'!Q47*$C$69)+($E$69*'presupuesto compras y ventas'!Q46),0)</f>
        <v>0</v>
      </c>
      <c r="R65" s="152"/>
    </row>
    <row r="66" spans="2:18" ht="16.5" thickTop="1" thickBot="1" x14ac:dyDescent="0.3">
      <c r="B66" s="164">
        <f>+Inicio!C186</f>
        <v>0</v>
      </c>
      <c r="C66" s="164">
        <f>IF(Inicio!$F$13="Años",(Inicio!D186*12),Inicio!D186)</f>
        <v>0</v>
      </c>
      <c r="D66" s="164">
        <f>IF(D$6&lt;=Inicio!$D$13,+(C66*$C$26)+C66,0)</f>
        <v>0</v>
      </c>
      <c r="E66" s="164">
        <f>IF(E$6&lt;=Inicio!$D$13,+(D66*$C$26)+D66,0)</f>
        <v>0</v>
      </c>
      <c r="F66" s="164">
        <f>IF(F$6&lt;=Inicio!$D$13,+(E66*$C$26)+E66,0)</f>
        <v>0</v>
      </c>
      <c r="G66" s="164">
        <f>IF(G$6&lt;=Inicio!$D$13,+(F66*$C$26)+F66,0)</f>
        <v>0</v>
      </c>
      <c r="H66" s="164">
        <f>IF(H$6&lt;=Inicio!$D$13,+(G66*$C$26)+G66,0)</f>
        <v>0</v>
      </c>
      <c r="I66" s="164">
        <f>IF(I$6&lt;=Inicio!$D$13,+(H66*$C$26)+H66,0)</f>
        <v>0</v>
      </c>
      <c r="J66" s="164">
        <f>IF(J$6&lt;=Inicio!$D$13,+(I66*$C$26)+I66,0)</f>
        <v>0</v>
      </c>
      <c r="K66" s="164">
        <f>IF(K$6&lt;=Inicio!$D$13,+(J66*$C$26)+J66,0)</f>
        <v>0</v>
      </c>
      <c r="L66" s="164">
        <f>IF(L$6&lt;=Inicio!$D$13,+(K66*$C$26)+K66,0)</f>
        <v>0</v>
      </c>
      <c r="M66" s="164">
        <f>IF(M$6&lt;=Inicio!$D$13,+(L66*$C$26)+L66,0)</f>
        <v>0</v>
      </c>
      <c r="N66" s="164">
        <f>IF(N$6&lt;=Inicio!$D$13,+(M66*$C$26)+M66,0)</f>
        <v>0</v>
      </c>
      <c r="O66" s="164">
        <f>IF(O$6&lt;=Inicio!$D$13,+(N66*$C$26)+N66,0)</f>
        <v>0</v>
      </c>
      <c r="P66" s="164">
        <f>IF(P$6&lt;=Inicio!$D$13,+(O66*$C$26)+O66,0)</f>
        <v>0</v>
      </c>
      <c r="Q66" s="164">
        <f>IF(Q$6&lt;=Inicio!$D$13,+(P66*$C$26)+P66,0)</f>
        <v>0</v>
      </c>
      <c r="R66" s="152"/>
    </row>
    <row r="67" spans="2:18" ht="16.5" thickTop="1" thickBot="1" x14ac:dyDescent="0.3">
      <c r="B67" s="164">
        <f>+Inicio!C187</f>
        <v>0</v>
      </c>
      <c r="C67" s="164">
        <f>IF(Inicio!$F$13="Años",(Inicio!D187*12),Inicio!D187)</f>
        <v>0</v>
      </c>
      <c r="D67" s="164">
        <f>IF(D$6&lt;=Inicio!$D$13,+(C67*$C$26)+C67,0)</f>
        <v>0</v>
      </c>
      <c r="E67" s="164">
        <f>IF(E$6&lt;=Inicio!$D$13,+(D67*$C$26)+D67,0)</f>
        <v>0</v>
      </c>
      <c r="F67" s="164">
        <f>IF(F$6&lt;=Inicio!$D$13,+(E67*$C$26)+E67,0)</f>
        <v>0</v>
      </c>
      <c r="G67" s="164">
        <f>IF(G$6&lt;=Inicio!$D$13,+(F67*$C$26)+F67,0)</f>
        <v>0</v>
      </c>
      <c r="H67" s="164">
        <f>IF(H$6&lt;=Inicio!$D$13,+(G67*$C$26)+G67,0)</f>
        <v>0</v>
      </c>
      <c r="I67" s="164">
        <f>IF(I$6&lt;=Inicio!$D$13,+(H67*$C$26)+H67,0)</f>
        <v>0</v>
      </c>
      <c r="J67" s="164">
        <f>IF(J$6&lt;=Inicio!$D$13,+(I67*$C$26)+I67,0)</f>
        <v>0</v>
      </c>
      <c r="K67" s="164">
        <f>IF(K$6&lt;=Inicio!$D$13,+(J67*$C$26)+J67,0)</f>
        <v>0</v>
      </c>
      <c r="L67" s="164">
        <f>IF(L$6&lt;=Inicio!$D$13,+(K67*$C$26)+K67,0)</f>
        <v>0</v>
      </c>
      <c r="M67" s="164">
        <f>IF(M$6&lt;=Inicio!$D$13,+(L67*$C$26)+L67,0)</f>
        <v>0</v>
      </c>
      <c r="N67" s="164">
        <f>IF(N$6&lt;=Inicio!$D$13,+(M67*$C$26)+M67,0)</f>
        <v>0</v>
      </c>
      <c r="O67" s="164">
        <f>IF(O$6&lt;=Inicio!$D$13,+(N67*$C$26)+N67,0)</f>
        <v>0</v>
      </c>
      <c r="P67" s="164">
        <f>IF(P$6&lt;=Inicio!$D$13,+(O67*$C$26)+O67,0)</f>
        <v>0</v>
      </c>
      <c r="Q67" s="164">
        <f>IF(Q$6&lt;=Inicio!$D$13,+(P67*$C$26)+P67,0)</f>
        <v>0</v>
      </c>
      <c r="R67" s="152"/>
    </row>
    <row r="68" spans="2:18" ht="16.5" thickTop="1" thickBot="1" x14ac:dyDescent="0.3">
      <c r="B68" s="154" t="s">
        <v>59</v>
      </c>
      <c r="C68" s="165">
        <f>SUM(C51:C67)</f>
        <v>0</v>
      </c>
      <c r="D68" s="165">
        <f t="shared" ref="D68:Q68" si="2">SUM(D51:D67)</f>
        <v>0</v>
      </c>
      <c r="E68" s="165">
        <f t="shared" si="2"/>
        <v>0</v>
      </c>
      <c r="F68" s="165">
        <f t="shared" si="2"/>
        <v>0</v>
      </c>
      <c r="G68" s="165">
        <f t="shared" si="2"/>
        <v>0</v>
      </c>
      <c r="H68" s="165">
        <f t="shared" si="2"/>
        <v>0</v>
      </c>
      <c r="I68" s="165">
        <f t="shared" si="2"/>
        <v>0</v>
      </c>
      <c r="J68" s="165">
        <f t="shared" si="2"/>
        <v>0</v>
      </c>
      <c r="K68" s="165">
        <f t="shared" si="2"/>
        <v>0</v>
      </c>
      <c r="L68" s="165">
        <f t="shared" si="2"/>
        <v>0</v>
      </c>
      <c r="M68" s="165">
        <f t="shared" si="2"/>
        <v>0</v>
      </c>
      <c r="N68" s="165">
        <f t="shared" si="2"/>
        <v>0</v>
      </c>
      <c r="O68" s="165">
        <f t="shared" si="2"/>
        <v>0</v>
      </c>
      <c r="P68" s="165">
        <f t="shared" si="2"/>
        <v>0</v>
      </c>
      <c r="Q68" s="165">
        <f t="shared" si="2"/>
        <v>0</v>
      </c>
      <c r="R68" s="88"/>
    </row>
    <row r="69" spans="2:18" s="166" customFormat="1" ht="13.5" thickTop="1" x14ac:dyDescent="0.2">
      <c r="B69" s="156" t="s">
        <v>250</v>
      </c>
      <c r="C69" s="157">
        <f>Inicio!D185</f>
        <v>0</v>
      </c>
      <c r="D69" s="156" t="s">
        <v>251</v>
      </c>
      <c r="E69" s="157">
        <f>Inicio!D186</f>
        <v>0</v>
      </c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</row>
    <row r="70" spans="2:18" s="166" customFormat="1" x14ac:dyDescent="0.2">
      <c r="B70" s="156" t="s">
        <v>166</v>
      </c>
      <c r="C70" s="159">
        <f>Inicio!D148</f>
        <v>0.03</v>
      </c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</row>
    <row r="71" spans="2:18" hidden="1" x14ac:dyDescent="0.2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</row>
    <row r="72" spans="2:18" hidden="1" x14ac:dyDescent="0.2"/>
  </sheetData>
  <sheetProtection password="99B7" sheet="1" objects="1" scenarios="1"/>
  <customSheetViews>
    <customSheetView guid="{4BF10618-D357-11D5-9338-EFF21189730A}" showGridLines="0" outlineSymbols="0" showRuler="0">
      <selection activeCell="A8" sqref="A8"/>
      <pageMargins left="0.37" right="0.5" top="0.68" bottom="1" header="0" footer="0"/>
      <printOptions horizontalCentered="1" verticalCentered="1"/>
      <pageSetup scale="65" orientation="landscape" horizontalDpi="300" verticalDpi="300" r:id="rId1"/>
      <headerFooter alignWithMargins="0"/>
    </customSheetView>
  </customSheetViews>
  <mergeCells count="6">
    <mergeCell ref="B27:Q27"/>
    <mergeCell ref="B49:Q49"/>
    <mergeCell ref="B2:Q2"/>
    <mergeCell ref="B3:Q3"/>
    <mergeCell ref="B4:Q4"/>
    <mergeCell ref="B5:Q5"/>
  </mergeCells>
  <printOptions horizontalCentered="1" verticalCentered="1"/>
  <pageMargins left="0.37" right="0.5" top="0.68" bottom="1" header="0" footer="0"/>
  <pageSetup scale="65" orientation="landscape" horizontalDpi="300" verticalDpi="300" r:id="rId2"/>
  <headerFooter alignWithMargins="0"/>
  <ignoredErrors>
    <ignoredError sqref="B2:Q7 C8:Q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32"/>
  <sheetViews>
    <sheetView showGridLines="0" showRowColHeaders="0" showOutlineSymbols="0" workbookViewId="0">
      <selection activeCell="D11" sqref="D11"/>
    </sheetView>
  </sheetViews>
  <sheetFormatPr baseColWidth="10" defaultColWidth="0" defaultRowHeight="12.75" zeroHeight="1" x14ac:dyDescent="0.2"/>
  <cols>
    <col min="1" max="1" width="11.42578125" style="79" customWidth="1"/>
    <col min="2" max="2" width="37.5703125" style="79" bestFit="1" customWidth="1"/>
    <col min="3" max="3" width="18.28515625" style="79" bestFit="1" customWidth="1"/>
    <col min="4" max="4" width="18.42578125" style="79" bestFit="1" customWidth="1"/>
    <col min="5" max="5" width="18.28515625" style="79" bestFit="1" customWidth="1"/>
    <col min="6" max="6" width="11.42578125" style="79" customWidth="1"/>
    <col min="7" max="16384" width="11.42578125" style="79" hidden="1"/>
  </cols>
  <sheetData>
    <row r="1" spans="2:5" x14ac:dyDescent="0.2"/>
    <row r="2" spans="2:5" ht="18" x14ac:dyDescent="0.25">
      <c r="B2" s="295" t="str">
        <f>'presupuesto compras y ventas'!B1:G1</f>
        <v>PROYECTO E-VISTETIC S.A.</v>
      </c>
      <c r="C2" s="295"/>
      <c r="D2" s="295"/>
      <c r="E2" s="295"/>
    </row>
    <row r="3" spans="2:5" ht="18" customHeight="1" x14ac:dyDescent="0.25">
      <c r="B3" s="294" t="s">
        <v>189</v>
      </c>
      <c r="C3" s="294"/>
      <c r="D3" s="294"/>
      <c r="E3" s="294"/>
    </row>
    <row r="4" spans="2:5" ht="13.5" thickBot="1" x14ac:dyDescent="0.25">
      <c r="B4" s="296" t="str">
        <f>IF(Inicio!$F$13="Años","En Años","En Meses")</f>
        <v>En Años</v>
      </c>
      <c r="C4" s="296"/>
      <c r="D4" s="296"/>
      <c r="E4" s="296"/>
    </row>
    <row r="5" spans="2:5" ht="16.5" thickTop="1" thickBot="1" x14ac:dyDescent="0.3">
      <c r="B5" s="311" t="s">
        <v>54</v>
      </c>
      <c r="C5" s="311"/>
      <c r="D5" s="311"/>
    </row>
    <row r="6" spans="2:5" ht="16.5" thickTop="1" thickBot="1" x14ac:dyDescent="0.3">
      <c r="B6" s="312" t="s">
        <v>230</v>
      </c>
      <c r="C6" s="312"/>
      <c r="D6" s="87">
        <f>IF(Inicio!$F$13="Años",(+'gastos personal'!D64+'gastos personal'!D66+'gastos personal'!D70+'gastos personal'!D72+'gastos personal'!D77+'gastos personal'!D79),('gastos personal'!D64+'gastos personal'!D66+'gastos personal'!D70+'gastos personal'!D72+'gastos personal'!D77+'gastos personal'!D79-'gastos personal'!D64-'gastos personal'!D66))</f>
        <v>831060000</v>
      </c>
    </row>
    <row r="7" spans="2:5" ht="16.5" thickTop="1" thickBot="1" x14ac:dyDescent="0.3">
      <c r="B7" s="312" t="s">
        <v>231</v>
      </c>
      <c r="C7" s="312"/>
      <c r="D7" s="87">
        <f>IF(Inicio!$F$13="Años",(+'gastos generales'!C24+'gastos generales'!C46+'gastos generales'!C68),('gastos generales'!C24+'gastos generales'!C46+'gastos generales'!C68))</f>
        <v>93960000</v>
      </c>
    </row>
    <row r="8" spans="2:5" ht="16.5" thickTop="1" thickBot="1" x14ac:dyDescent="0.3">
      <c r="B8" s="313" t="s">
        <v>62</v>
      </c>
      <c r="C8" s="313"/>
      <c r="D8" s="155">
        <f>SUM(D6:D7)</f>
        <v>925020000</v>
      </c>
    </row>
    <row r="9" spans="2:5" ht="16.5" thickTop="1" thickBot="1" x14ac:dyDescent="0.3">
      <c r="B9" s="312" t="s">
        <v>293</v>
      </c>
      <c r="C9" s="312"/>
      <c r="D9" s="87">
        <f>+'presupuesto compras y ventas'!C6</f>
        <v>178580000</v>
      </c>
    </row>
    <row r="10" spans="2:5" ht="16.5" thickTop="1" thickBot="1" x14ac:dyDescent="0.3">
      <c r="B10" s="167" t="s">
        <v>48</v>
      </c>
      <c r="C10" s="168">
        <f>Inicio!D130</f>
        <v>1</v>
      </c>
      <c r="D10" s="87">
        <f>+(D8+D9)*C10</f>
        <v>1103600000</v>
      </c>
    </row>
    <row r="11" spans="2:5" ht="16.5" thickTop="1" thickBot="1" x14ac:dyDescent="0.3">
      <c r="B11" s="312" t="s">
        <v>51</v>
      </c>
      <c r="C11" s="312"/>
      <c r="D11" s="84">
        <f>+D10+D9+D8</f>
        <v>2207200000</v>
      </c>
    </row>
    <row r="12" spans="2:5" ht="16.5" thickTop="1" thickBot="1" x14ac:dyDescent="0.3">
      <c r="B12" s="312" t="s">
        <v>49</v>
      </c>
      <c r="C12" s="312"/>
      <c r="D12" s="84">
        <f>IF(Inicio!$F$13="Años",+D11/365,D11/30)</f>
        <v>6047123.2876712326</v>
      </c>
    </row>
    <row r="13" spans="2:5" ht="16.5" thickTop="1" thickBot="1" x14ac:dyDescent="0.3">
      <c r="B13" s="312" t="s">
        <v>213</v>
      </c>
      <c r="C13" s="312"/>
      <c r="D13" s="84">
        <f>+D12*D15</f>
        <v>272120547.94520545</v>
      </c>
    </row>
    <row r="14" spans="2:5" ht="16.5" thickTop="1" thickBot="1" x14ac:dyDescent="0.3">
      <c r="B14" s="314" t="s">
        <v>295</v>
      </c>
      <c r="C14" s="314"/>
      <c r="D14" s="155">
        <f>+D13</f>
        <v>272120547.94520545</v>
      </c>
    </row>
    <row r="15" spans="2:5" ht="16.5" thickTop="1" thickBot="1" x14ac:dyDescent="0.3">
      <c r="B15" s="312" t="s">
        <v>202</v>
      </c>
      <c r="C15" s="312"/>
      <c r="D15" s="87">
        <f>Inicio!D129</f>
        <v>45</v>
      </c>
    </row>
    <row r="16" spans="2:5" ht="14.25" thickTop="1" thickBot="1" x14ac:dyDescent="0.25"/>
    <row r="17" spans="2:5" ht="16.5" thickTop="1" thickBot="1" x14ac:dyDescent="0.3">
      <c r="B17" s="311" t="s">
        <v>118</v>
      </c>
      <c r="C17" s="311"/>
      <c r="D17" s="311" t="s">
        <v>84</v>
      </c>
      <c r="E17" s="311"/>
    </row>
    <row r="18" spans="2:5" ht="16.5" thickTop="1" thickBot="1" x14ac:dyDescent="0.3">
      <c r="B18" s="83"/>
      <c r="C18" s="83"/>
      <c r="D18" s="80" t="s">
        <v>85</v>
      </c>
      <c r="E18" s="80" t="s">
        <v>86</v>
      </c>
    </row>
    <row r="19" spans="2:5" ht="16.5" thickTop="1" thickBot="1" x14ac:dyDescent="0.3">
      <c r="B19" s="85" t="s">
        <v>69</v>
      </c>
      <c r="C19" s="87">
        <f>IF(Inicio!$F$13="Años",(+'gastos depreciación'!D22),('gastos depreciación'!D22))</f>
        <v>400000000</v>
      </c>
      <c r="D19" s="86">
        <f>Inicio!D119</f>
        <v>0.75</v>
      </c>
      <c r="E19" s="87">
        <f>+D19*C19</f>
        <v>300000000</v>
      </c>
    </row>
    <row r="20" spans="2:5" ht="16.5" thickTop="1" thickBot="1" x14ac:dyDescent="0.3">
      <c r="B20" s="85" t="s">
        <v>70</v>
      </c>
      <c r="C20" s="87">
        <f>+'gastos depreciación'!D34</f>
        <v>68000000</v>
      </c>
      <c r="D20" s="86">
        <f>Inicio!D120</f>
        <v>0.75</v>
      </c>
      <c r="E20" s="87">
        <f>+D20*C20</f>
        <v>51000000</v>
      </c>
    </row>
    <row r="21" spans="2:5" ht="16.5" thickTop="1" thickBot="1" x14ac:dyDescent="0.3">
      <c r="B21" s="85" t="s">
        <v>209</v>
      </c>
      <c r="C21" s="87">
        <f>+D14</f>
        <v>272120547.94520545</v>
      </c>
      <c r="D21" s="86">
        <f>Inicio!D121</f>
        <v>1</v>
      </c>
      <c r="E21" s="87">
        <f>+D21*C21</f>
        <v>272120547.94520545</v>
      </c>
    </row>
    <row r="22" spans="2:5" ht="16.5" thickTop="1" thickBot="1" x14ac:dyDescent="0.3">
      <c r="B22" s="85" t="s">
        <v>210</v>
      </c>
      <c r="C22" s="169">
        <f>+D24*D25</f>
        <v>44033424.657534242</v>
      </c>
      <c r="D22" s="86">
        <f>Inicio!D122</f>
        <v>1</v>
      </c>
      <c r="E22" s="87">
        <f>+D22*C22</f>
        <v>44033424.657534242</v>
      </c>
    </row>
    <row r="23" spans="2:5" ht="16.5" thickTop="1" thickBot="1" x14ac:dyDescent="0.3">
      <c r="B23" s="83" t="s">
        <v>71</v>
      </c>
      <c r="C23" s="155">
        <f>SUM(C19:C22)</f>
        <v>784153972.60273969</v>
      </c>
      <c r="D23" s="170" t="s">
        <v>0</v>
      </c>
      <c r="E23" s="155">
        <f>SUM(E19:E22)</f>
        <v>667153972.60273969</v>
      </c>
    </row>
    <row r="24" spans="2:5" ht="16.5" thickTop="1" thickBot="1" x14ac:dyDescent="0.3">
      <c r="B24" s="83" t="s">
        <v>252</v>
      </c>
      <c r="C24" s="83"/>
      <c r="D24" s="171">
        <f>IF(Inicio!$F$13="Años",'presupuesto compras y ventas'!C46/365,'presupuesto compras y ventas'!C46/30)</f>
        <v>1467780.8219178081</v>
      </c>
      <c r="E24" s="172"/>
    </row>
    <row r="25" spans="2:5" ht="16.5" thickTop="1" thickBot="1" x14ac:dyDescent="0.3">
      <c r="B25" s="83" t="s">
        <v>253</v>
      </c>
      <c r="C25" s="83"/>
      <c r="D25" s="171">
        <f>Inicio!D131</f>
        <v>30</v>
      </c>
    </row>
    <row r="26" spans="2:5" ht="16.5" thickTop="1" thickBot="1" x14ac:dyDescent="0.3">
      <c r="B26" s="83" t="s">
        <v>72</v>
      </c>
      <c r="C26" s="80" t="s">
        <v>78</v>
      </c>
      <c r="D26" s="80" t="s">
        <v>77</v>
      </c>
    </row>
    <row r="27" spans="2:5" ht="16.5" thickTop="1" thickBot="1" x14ac:dyDescent="0.3">
      <c r="B27" s="85" t="s">
        <v>73</v>
      </c>
      <c r="C27" s="86">
        <f>Inicio!D124</f>
        <v>0.6</v>
      </c>
      <c r="D27" s="87">
        <f>+C27*$C$23</f>
        <v>470492383.56164378</v>
      </c>
    </row>
    <row r="28" spans="2:5" ht="16.5" thickTop="1" thickBot="1" x14ac:dyDescent="0.3">
      <c r="B28" s="85" t="s">
        <v>75</v>
      </c>
      <c r="C28" s="86">
        <f>Inicio!D125</f>
        <v>0.15</v>
      </c>
      <c r="D28" s="87">
        <f>+C28*$C$23</f>
        <v>117623095.89041094</v>
      </c>
    </row>
    <row r="29" spans="2:5" ht="16.5" thickTop="1" thickBot="1" x14ac:dyDescent="0.3">
      <c r="B29" s="85" t="s">
        <v>74</v>
      </c>
      <c r="C29" s="86">
        <f>Inicio!D126</f>
        <v>0.15</v>
      </c>
      <c r="D29" s="87">
        <f>+C29*$C$23</f>
        <v>117623095.89041094</v>
      </c>
    </row>
    <row r="30" spans="2:5" ht="16.5" hidden="1" thickTop="1" thickBot="1" x14ac:dyDescent="0.3">
      <c r="B30" s="85" t="s">
        <v>76</v>
      </c>
      <c r="C30" s="86">
        <f>Inicio!D127</f>
        <v>0.1</v>
      </c>
      <c r="D30" s="87">
        <f>+C30*$C$23</f>
        <v>78415397.260273978</v>
      </c>
    </row>
    <row r="31" spans="2:5" ht="16.5" thickTop="1" thickBot="1" x14ac:dyDescent="0.3">
      <c r="B31" s="83" t="s">
        <v>62</v>
      </c>
      <c r="C31" s="170">
        <f>SUM(C27:C30)</f>
        <v>1</v>
      </c>
      <c r="D31" s="155">
        <f>SUM(D27:D30)</f>
        <v>784153972.60273957</v>
      </c>
    </row>
    <row r="32" spans="2:5" ht="13.5" thickTop="1" x14ac:dyDescent="0.2"/>
  </sheetData>
  <sheetProtection password="99B7" sheet="1" objects="1" scenarios="1"/>
  <customSheetViews>
    <customSheetView guid="{4BF10618-D357-11D5-9338-EFF21189730A}" showGridLines="0" outlineSymbols="0" showRuler="0">
      <selection activeCell="A9" sqref="A9"/>
      <pageMargins left="0.75" right="0.75" top="1" bottom="1" header="0" footer="0"/>
      <printOptions horizontalCentered="1" verticalCentered="1"/>
      <pageSetup orientation="landscape" horizontalDpi="120" verticalDpi="144" r:id="rId1"/>
      <headerFooter alignWithMargins="0"/>
    </customSheetView>
  </customSheetViews>
  <mergeCells count="15">
    <mergeCell ref="B2:E2"/>
    <mergeCell ref="D17:E17"/>
    <mergeCell ref="B6:C6"/>
    <mergeCell ref="B7:C7"/>
    <mergeCell ref="B8:C8"/>
    <mergeCell ref="B3:E3"/>
    <mergeCell ref="B5:D5"/>
    <mergeCell ref="B4:E4"/>
    <mergeCell ref="B15:C15"/>
    <mergeCell ref="B17:C17"/>
    <mergeCell ref="B9:C9"/>
    <mergeCell ref="B11:C11"/>
    <mergeCell ref="B12:C12"/>
    <mergeCell ref="B13:C13"/>
    <mergeCell ref="B14:C14"/>
  </mergeCells>
  <printOptions horizontalCentered="1" verticalCentered="1"/>
  <pageMargins left="0.75" right="0.75" top="0.73" bottom="1" header="0" footer="0"/>
  <pageSetup orientation="landscape" horizontalDpi="120" verticalDpi="144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O53"/>
  <sheetViews>
    <sheetView showGridLines="0" showRowColHeaders="0" showOutlineSymbols="0" workbookViewId="0">
      <selection activeCell="E13" sqref="E13"/>
    </sheetView>
  </sheetViews>
  <sheetFormatPr baseColWidth="10" defaultColWidth="0" defaultRowHeight="12.75" zeroHeight="1" x14ac:dyDescent="0.2"/>
  <cols>
    <col min="1" max="1" width="11.42578125" style="79" customWidth="1"/>
    <col min="2" max="2" width="23.7109375" style="79" bestFit="1" customWidth="1"/>
    <col min="3" max="3" width="17.140625" style="79" bestFit="1" customWidth="1"/>
    <col min="4" max="6" width="16.85546875" style="79" bestFit="1" customWidth="1"/>
    <col min="7" max="7" width="15.7109375" style="79" hidden="1" customWidth="1"/>
    <col min="8" max="8" width="14.28515625" style="79" hidden="1" customWidth="1"/>
    <col min="9" max="12" width="2" style="79" hidden="1" customWidth="1"/>
    <col min="13" max="18" width="3" style="79" hidden="1" customWidth="1"/>
    <col min="19" max="19" width="11.42578125" style="79" customWidth="1"/>
    <col min="20" max="16384" width="11.42578125" style="79" hidden="1"/>
  </cols>
  <sheetData>
    <row r="1" spans="2:19" x14ac:dyDescent="0.2"/>
    <row r="2" spans="2:19" ht="18" x14ac:dyDescent="0.25">
      <c r="B2" s="295" t="str">
        <f>'inversión inicial'!B2:E2</f>
        <v>PROYECTO E-VISTETIC S.A.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2:19" x14ac:dyDescent="0.2">
      <c r="B3" s="296" t="s">
        <v>52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2:19" ht="13.5" thickBot="1" x14ac:dyDescent="0.25">
      <c r="B4" s="293" t="str">
        <f>IF(Inicio!$F$13="Años","En Años","En Meses")</f>
        <v>En Años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</row>
    <row r="5" spans="2:19" ht="16.5" thickTop="1" thickBot="1" x14ac:dyDescent="0.3">
      <c r="B5" s="80" t="s">
        <v>6</v>
      </c>
      <c r="C5" s="80">
        <v>0</v>
      </c>
      <c r="D5" s="80">
        <v>1</v>
      </c>
      <c r="E5" s="80">
        <v>2</v>
      </c>
      <c r="F5" s="80">
        <v>3</v>
      </c>
      <c r="G5" s="80">
        <v>4</v>
      </c>
      <c r="H5" s="80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81">
        <v>12</v>
      </c>
      <c r="P5" s="81">
        <v>13</v>
      </c>
      <c r="Q5" s="81">
        <v>14</v>
      </c>
      <c r="R5" s="81">
        <v>15</v>
      </c>
      <c r="S5" s="82"/>
    </row>
    <row r="6" spans="2:19" ht="16.5" thickTop="1" thickBot="1" x14ac:dyDescent="0.3">
      <c r="B6" s="83" t="str">
        <f>Inicio!C139</f>
        <v>PRESTAMO 1</v>
      </c>
      <c r="C6" s="84">
        <f>+'inversión inicial'!D28</f>
        <v>117623095.89041094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2"/>
    </row>
    <row r="7" spans="2:19" ht="16.5" thickTop="1" thickBot="1" x14ac:dyDescent="0.3">
      <c r="B7" s="83" t="s">
        <v>30</v>
      </c>
      <c r="C7" s="86">
        <f>IF(Inicio!$F$13="Años",Inicio!D139,(POWER(Inicio!D139+1,1/12)-1))</f>
        <v>0.1676</v>
      </c>
      <c r="D7" s="84">
        <f>IF(D$5&lt;=Inicio!$D$13,+C6*C7,0)</f>
        <v>19713630.871232875</v>
      </c>
      <c r="E7" s="84">
        <f>IF(E$5&lt;=Inicio!$D$13,+D9*$C7,0)</f>
        <v>14130440.171098165</v>
      </c>
      <c r="F7" s="84">
        <f>IF(F$5&lt;=Inicio!$D$13,+E9*$C7,0)</f>
        <v>7611506.7096208781</v>
      </c>
      <c r="G7" s="84">
        <f>IF(G$5&lt;=Inicio!$D$13,+F9*$C7,0)</f>
        <v>0</v>
      </c>
      <c r="H7" s="84">
        <f>IF(H$5&lt;=Inicio!$D$13,+G9*$C7,0)</f>
        <v>0</v>
      </c>
      <c r="I7" s="87">
        <f>IF(I$5&lt;=Inicio!$D$13,+H9*$C7,0)</f>
        <v>0</v>
      </c>
      <c r="J7" s="87">
        <f>IF(J$5&lt;=Inicio!$D$13,+I9*$C7,0)</f>
        <v>0</v>
      </c>
      <c r="K7" s="87">
        <f>IF(K$5&lt;=Inicio!$D$13,+J9*$C7,0)</f>
        <v>0</v>
      </c>
      <c r="L7" s="87">
        <f>IF(L$5&lt;=Inicio!$D$13,+K9*$C7,0)</f>
        <v>0</v>
      </c>
      <c r="M7" s="87">
        <f>IF(M$5&lt;=Inicio!$D$13,+L9*$C7,0)</f>
        <v>0</v>
      </c>
      <c r="N7" s="87">
        <f>IF(N$5&lt;=Inicio!$D$13,+M9*$C7,0)</f>
        <v>0</v>
      </c>
      <c r="O7" s="87">
        <f>IF(O$5&lt;=Inicio!$D$13,+N9*$C7,0)</f>
        <v>0</v>
      </c>
      <c r="P7" s="87">
        <f>IF(P$5&lt;=Inicio!$D$13,+O9*$C7,0)</f>
        <v>0</v>
      </c>
      <c r="Q7" s="87">
        <f>IF(Q$5&lt;=Inicio!$D$13,+P9*$C7,0)</f>
        <v>0</v>
      </c>
      <c r="R7" s="87">
        <f>IF(R$5&lt;=Inicio!$D$13,+Q9*$C7,0)</f>
        <v>0</v>
      </c>
      <c r="S7" s="82"/>
    </row>
    <row r="8" spans="2:19" ht="16.5" thickTop="1" thickBot="1" x14ac:dyDescent="0.3">
      <c r="B8" s="83" t="s">
        <v>31</v>
      </c>
      <c r="C8" s="85"/>
      <c r="D8" s="84">
        <f>IF(D$5&lt;=Inicio!$D$13,IF(D$5&lt;=$C$10,+$C$12-D7,0),0)</f>
        <v>33312593.676221415</v>
      </c>
      <c r="E8" s="84">
        <f>IF(E$5&lt;=Inicio!$D$13,IF(E$5&lt;=$C$10,+$C$12-E7,0),0)</f>
        <v>38895784.376356125</v>
      </c>
      <c r="F8" s="84">
        <f>IF(F$5&lt;=Inicio!$D$13,IF(F$5&lt;=$C$10,+$C$12-F7,0),0)</f>
        <v>45414717.837833412</v>
      </c>
      <c r="G8" s="84">
        <f>IF(G$5&lt;=Inicio!$D$13,IF(G$5&lt;=$C$10,+$C$12-G7,0),0)</f>
        <v>0</v>
      </c>
      <c r="H8" s="84">
        <f>IF(H$5&lt;=Inicio!$D$13,IF(H$5&lt;=$C$10,+$C$12-H7,0),0)</f>
        <v>0</v>
      </c>
      <c r="I8" s="87">
        <f>IF(I$5&lt;=Inicio!$D$13,IF(I$5&lt;=$C$10,+$C$12-I7,0),0)</f>
        <v>0</v>
      </c>
      <c r="J8" s="87">
        <f>IF(J$5&lt;=Inicio!$D$13,IF(J$5&lt;=$C$10,+$C$12-J7,0),0)</f>
        <v>0</v>
      </c>
      <c r="K8" s="87">
        <f>IF(K$5&lt;=Inicio!$D$13,IF(K$5&lt;=$C$10,+$C$12-K7,0),0)</f>
        <v>0</v>
      </c>
      <c r="L8" s="87">
        <f>IF(L$5&lt;=Inicio!$D$13,IF(L$5&lt;=$C$10,+$C$12-L7,0),0)</f>
        <v>0</v>
      </c>
      <c r="M8" s="87">
        <f>IF(M$5&lt;=Inicio!$D$13,IF(M$5&lt;=$C$10,+$C$12-M7,0),0)</f>
        <v>0</v>
      </c>
      <c r="N8" s="87">
        <f>IF(N$5&lt;=Inicio!$D$13,IF(N$5&lt;=$C$10,+$C$12-N7,0),0)</f>
        <v>0</v>
      </c>
      <c r="O8" s="87">
        <f>IF(O$5&lt;=Inicio!$D$13,IF(O$5&lt;=$C$10,+$C$12-O7,0),0)</f>
        <v>0</v>
      </c>
      <c r="P8" s="87">
        <f>IF(P$5&lt;=Inicio!$D$13,IF(P$5&lt;=$C$10,+$C$12-P7,0),0)</f>
        <v>0</v>
      </c>
      <c r="Q8" s="87">
        <f>IF(Q$5&lt;=Inicio!$D$13,IF(Q$5&lt;=$C$10,+$C$12-Q7,0),0)</f>
        <v>0</v>
      </c>
      <c r="R8" s="87">
        <f>IF(R$5&lt;=Inicio!$D$13,IF(R$5&lt;=$C$10,+$C$12-R7,0),0)</f>
        <v>0</v>
      </c>
      <c r="S8" s="82"/>
    </row>
    <row r="9" spans="2:19" ht="16.5" thickTop="1" thickBot="1" x14ac:dyDescent="0.3">
      <c r="B9" s="83" t="s">
        <v>32</v>
      </c>
      <c r="C9" s="85"/>
      <c r="D9" s="84">
        <f>IF(D$5&lt;=Inicio!$D$13,IF(D$5&lt;=$C$10,+C6-D8,0),0)</f>
        <v>84310502.214189529</v>
      </c>
      <c r="E9" s="84">
        <f>IF(E$5&lt;=Inicio!$D$13,IF(E$5&lt;=$C$10,+D9-E8,0),0)</f>
        <v>45414717.837833405</v>
      </c>
      <c r="F9" s="84">
        <f>IF(F$5&lt;=Inicio!$D$13,IF(F$5&lt;=$C$10,+E9-F8,0),0)</f>
        <v>-7.4505805969238281E-9</v>
      </c>
      <c r="G9" s="84">
        <f>IF(G$5&lt;=Inicio!$D$13,IF(G$5&lt;=$C$10,+F9-G8,0),0)</f>
        <v>0</v>
      </c>
      <c r="H9" s="84">
        <f>IF(H$5&lt;=Inicio!$D$13,IF(H$5&lt;=$C$10,+G9-H8,0),0)</f>
        <v>0</v>
      </c>
      <c r="I9" s="87">
        <f>IF(I$5&lt;=Inicio!$D$13,IF(I$5&lt;=$C$10,+H9-I8,0),0)</f>
        <v>0</v>
      </c>
      <c r="J9" s="87">
        <f>IF(J$5&lt;=Inicio!$D$13,IF(J$5&lt;=$C$10,+I9-J8,0),0)</f>
        <v>0</v>
      </c>
      <c r="K9" s="87">
        <f>IF(K$5&lt;=Inicio!$D$13,IF(K$5&lt;=$C$10,+J9-K8,0),0)</f>
        <v>0</v>
      </c>
      <c r="L9" s="87">
        <f>IF(L$5&lt;=Inicio!$D$13,IF(L$5&lt;=$C$10,+K9-L8,0),0)</f>
        <v>0</v>
      </c>
      <c r="M9" s="87">
        <f>IF(M$5&lt;=Inicio!$D$13,IF(M$5&lt;=$C$10,+L9-M8,0),0)</f>
        <v>0</v>
      </c>
      <c r="N9" s="87">
        <f>IF(N$5&lt;=Inicio!$D$13,IF(N$5&lt;=$C$10,+M9-N8,0),0)</f>
        <v>0</v>
      </c>
      <c r="O9" s="87">
        <f>IF(O$5&lt;=Inicio!$D$13,IF(O$5&lt;=$C$10,+N9-O8,0),0)</f>
        <v>0</v>
      </c>
      <c r="P9" s="87">
        <f>IF(P$5&lt;=Inicio!$D$13,IF(P$5&lt;=$C$10,+O9-P8,0),0)</f>
        <v>0</v>
      </c>
      <c r="Q9" s="87">
        <f>IF(Q$5&lt;=Inicio!$D$13,IF(Q$5&lt;=$C$10,+P9-Q8,0),0)</f>
        <v>0</v>
      </c>
      <c r="R9" s="87">
        <f>IF(R$5&lt;=Inicio!$D$13,IF(R$5&lt;=$C$10,+Q9-R8,0),0)</f>
        <v>0</v>
      </c>
      <c r="S9" s="82"/>
    </row>
    <row r="10" spans="2:19" ht="16.5" thickTop="1" thickBot="1" x14ac:dyDescent="0.3">
      <c r="B10" s="83" t="s">
        <v>79</v>
      </c>
      <c r="C10" s="85">
        <f>IF(Inicio!$F$13="Años",Inicio!E139,Inicio!E139*12)</f>
        <v>3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2"/>
    </row>
    <row r="11" spans="2:19" ht="16.5" thickTop="1" thickBot="1" x14ac:dyDescent="0.3">
      <c r="B11" s="83" t="s">
        <v>99</v>
      </c>
      <c r="C11" s="84">
        <f>(C6*(C7/(1-(+POWER((1+C7),-C10)))))/(1+C7)</f>
        <v>45414717.837833412</v>
      </c>
      <c r="D11" s="89" t="s">
        <v>0</v>
      </c>
      <c r="E11" s="89" t="s">
        <v>0</v>
      </c>
      <c r="F11" s="89" t="s">
        <v>0</v>
      </c>
      <c r="G11" s="89" t="s">
        <v>0</v>
      </c>
      <c r="H11" s="89" t="s">
        <v>0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2"/>
    </row>
    <row r="12" spans="2:19" ht="16.5" thickTop="1" thickBot="1" x14ac:dyDescent="0.3">
      <c r="B12" s="83" t="s">
        <v>98</v>
      </c>
      <c r="C12" s="84">
        <f>C6*(C7/(1-(+POWER((1+C7),-C10))))</f>
        <v>53026224.54745429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2"/>
    </row>
    <row r="13" spans="2:19" ht="14.25" thickTop="1" thickBot="1" x14ac:dyDescent="0.25">
      <c r="B13" s="88" t="s">
        <v>0</v>
      </c>
      <c r="C13" s="88"/>
      <c r="D13" s="89" t="s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2"/>
    </row>
    <row r="14" spans="2:19" ht="16.5" thickTop="1" thickBot="1" x14ac:dyDescent="0.3">
      <c r="B14" s="80" t="s">
        <v>6</v>
      </c>
      <c r="C14" s="80">
        <v>0</v>
      </c>
      <c r="D14" s="80">
        <v>1</v>
      </c>
      <c r="E14" s="80">
        <v>2</v>
      </c>
      <c r="F14" s="80">
        <v>3</v>
      </c>
      <c r="G14" s="80">
        <v>4</v>
      </c>
      <c r="H14" s="80">
        <v>5</v>
      </c>
      <c r="I14" s="81">
        <v>6</v>
      </c>
      <c r="J14" s="81">
        <v>7</v>
      </c>
      <c r="K14" s="81">
        <v>8</v>
      </c>
      <c r="L14" s="81">
        <v>9</v>
      </c>
      <c r="M14" s="81">
        <v>10</v>
      </c>
      <c r="N14" s="81">
        <v>11</v>
      </c>
      <c r="O14" s="81">
        <v>12</v>
      </c>
      <c r="P14" s="81">
        <v>13</v>
      </c>
      <c r="Q14" s="81">
        <v>14</v>
      </c>
      <c r="R14" s="81">
        <v>15</v>
      </c>
      <c r="S14" s="82"/>
    </row>
    <row r="15" spans="2:19" ht="16.5" thickTop="1" thickBot="1" x14ac:dyDescent="0.3">
      <c r="B15" s="83" t="str">
        <f>Inicio!C140</f>
        <v>PRESTAMO 2</v>
      </c>
      <c r="C15" s="84">
        <f>+'inversión inicial'!D29</f>
        <v>117623095.89041094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2"/>
    </row>
    <row r="16" spans="2:19" ht="16.5" thickTop="1" thickBot="1" x14ac:dyDescent="0.3">
      <c r="B16" s="83" t="s">
        <v>30</v>
      </c>
      <c r="C16" s="86">
        <f>IF(Inicio!$F$13="Años",Inicio!D140,(POWER(Inicio!D140+1,1/12)-1))</f>
        <v>0.16</v>
      </c>
      <c r="D16" s="84">
        <f>IF(D$14&lt;=Inicio!$D$13,+C15*C16,0)</f>
        <v>18819695.342465751</v>
      </c>
      <c r="E16" s="84">
        <f>IF(E$14&lt;=Inicio!$D$13,+D18*$C16,0)</f>
        <v>13451229.076358447</v>
      </c>
      <c r="F16" s="84">
        <f>IF(F$14&lt;=Inicio!$D$13,+E18*$C16,0)</f>
        <v>7223808.2076739753</v>
      </c>
      <c r="G16" s="84">
        <f>IF(G$14&lt;=Inicio!$D$13,+F18*$C16,0)</f>
        <v>0</v>
      </c>
      <c r="H16" s="84">
        <f>IF(H$14&lt;=Inicio!$D$13,+G18*$C16,0)</f>
        <v>0</v>
      </c>
      <c r="I16" s="87">
        <f>IF(I$14&lt;=Inicio!$D$13,+H18*$C16,0)</f>
        <v>0</v>
      </c>
      <c r="J16" s="87">
        <f>IF(J$14&lt;=Inicio!$D$13,+I18*$C16,0)</f>
        <v>0</v>
      </c>
      <c r="K16" s="87">
        <f>IF(K$14&lt;=Inicio!$D$13,+J18*$C16,0)</f>
        <v>0</v>
      </c>
      <c r="L16" s="87">
        <f>IF(L$14&lt;=Inicio!$D$13,+K18*$C16,0)</f>
        <v>0</v>
      </c>
      <c r="M16" s="87">
        <f>IF(M$14&lt;=Inicio!$D$13,+L18*$C16,0)</f>
        <v>0</v>
      </c>
      <c r="N16" s="87">
        <f>IF(N$14&lt;=Inicio!$D$13,+M18*$C16,0)</f>
        <v>0</v>
      </c>
      <c r="O16" s="87">
        <f>IF(O$14&lt;=Inicio!$D$13,+N18*$C16,0)</f>
        <v>0</v>
      </c>
      <c r="P16" s="87">
        <f>IF(P$14&lt;=Inicio!$D$13,+O18*$C16,0)</f>
        <v>0</v>
      </c>
      <c r="Q16" s="87">
        <f>IF(Q$14&lt;=Inicio!$D$13,+P18*$C16,0)</f>
        <v>0</v>
      </c>
      <c r="R16" s="87">
        <f>IF(R$14&lt;=Inicio!$D$13,+Q18*$C16,0)</f>
        <v>0</v>
      </c>
      <c r="S16" s="82"/>
    </row>
    <row r="17" spans="2:171" ht="16.5" thickTop="1" thickBot="1" x14ac:dyDescent="0.3">
      <c r="B17" s="83" t="s">
        <v>31</v>
      </c>
      <c r="C17" s="85"/>
      <c r="D17" s="84">
        <f>IF(D$14&lt;=Inicio!$D$13,IF(D$14&lt;=$C$19,+$C$21-D16,0),0)</f>
        <v>33552914.163170643</v>
      </c>
      <c r="E17" s="84">
        <f>IF(E$14&lt;=Inicio!$D$13,IF(E$14&lt;=$C$19,+$C$21-E16,0),0)</f>
        <v>38921380.429277949</v>
      </c>
      <c r="F17" s="84">
        <f>IF(F$14&lt;=Inicio!$D$13,IF(F$14&lt;=$C$19,+$C$21-F16,0),0)</f>
        <v>45148801.29796242</v>
      </c>
      <c r="G17" s="84">
        <f>IF(G$14&lt;=Inicio!$D$13,IF(G$14&lt;=$C$19,+$C$21-G16,0),0)</f>
        <v>0</v>
      </c>
      <c r="H17" s="84">
        <f>IF(H$14&lt;=Inicio!$D$13,IF(H$14&lt;=$C$19,+$C$21-H16,0),0)</f>
        <v>0</v>
      </c>
      <c r="I17" s="87">
        <f>IF(I$14&lt;=Inicio!$D$13,IF(I$14&lt;=$C$19,+$C$21-I16,0),0)</f>
        <v>0</v>
      </c>
      <c r="J17" s="87">
        <f>IF(J$14&lt;=Inicio!$D$13,IF(J$14&lt;=$C$19,+$C$21-J16,0),0)</f>
        <v>0</v>
      </c>
      <c r="K17" s="87">
        <f>IF(K$14&lt;=Inicio!$D$13,IF(K$14&lt;=$C$19,+$C$21-K16,0),0)</f>
        <v>0</v>
      </c>
      <c r="L17" s="87">
        <f>IF(L$14&lt;=Inicio!$D$13,IF(L$14&lt;=$C$19,+$C$21-L16,0),0)</f>
        <v>0</v>
      </c>
      <c r="M17" s="87">
        <f>IF(M$14&lt;=Inicio!$D$13,IF(M$14&lt;=$C$19,+$C$21-M16,0),0)</f>
        <v>0</v>
      </c>
      <c r="N17" s="87">
        <f>IF(N$14&lt;=Inicio!$D$13,IF(N$14&lt;=$C$19,+$C$21-N16,0),0)</f>
        <v>0</v>
      </c>
      <c r="O17" s="87">
        <f>IF(O$14&lt;=Inicio!$D$13,IF(O$14&lt;=$C$19,+$C$21-O16,0),0)</f>
        <v>0</v>
      </c>
      <c r="P17" s="87">
        <f>IF(P$14&lt;=Inicio!$D$13,IF(P$14&lt;=$C$19,+$C$21-P16,0),0)</f>
        <v>0</v>
      </c>
      <c r="Q17" s="87">
        <f>IF(Q$14&lt;=Inicio!$D$13,IF(Q$14&lt;=$C$19,+$C$21-Q16,0),0)</f>
        <v>0</v>
      </c>
      <c r="R17" s="87">
        <f>IF(R$14&lt;=Inicio!$D$13,IF(R$14&lt;=$C$19,+$C$21-R16,0),0)</f>
        <v>0</v>
      </c>
      <c r="S17" s="82"/>
    </row>
    <row r="18" spans="2:171" ht="16.5" thickTop="1" thickBot="1" x14ac:dyDescent="0.3">
      <c r="B18" s="83" t="s">
        <v>32</v>
      </c>
      <c r="C18" s="85"/>
      <c r="D18" s="84">
        <f>IF(D$14&lt;=Inicio!$D$13,IF(D$14&lt;=$C$19,+C15-D17,0),0)</f>
        <v>84070181.727240294</v>
      </c>
      <c r="E18" s="84">
        <f>IF(E$14&lt;=Inicio!$D$13,IF(E$14&lt;=$C$19,+D18-E17,0),0)</f>
        <v>45148801.297962345</v>
      </c>
      <c r="F18" s="84">
        <f>IF(F$14&lt;=Inicio!$D$13,IF(F$14&lt;=$C$19,+E18-F17,0),0)</f>
        <v>-7.4505805969238281E-8</v>
      </c>
      <c r="G18" s="84">
        <f>IF(G$14&lt;=Inicio!$D$13,IF(G$14&lt;=$C$19,+F18-G17,0),0)</f>
        <v>0</v>
      </c>
      <c r="H18" s="84">
        <f>IF(H$14&lt;=Inicio!$D$13,IF(H$14&lt;=$C$19,+G18-H17,0),0)</f>
        <v>0</v>
      </c>
      <c r="I18" s="87">
        <f>IF(I$14&lt;=Inicio!$D$13,IF(I$14&lt;=$C$19,+H18-I17,0),0)</f>
        <v>0</v>
      </c>
      <c r="J18" s="87">
        <f>IF(J$14&lt;=Inicio!$D$13,IF(J$14&lt;=$C$19,+I18-J17,0),0)</f>
        <v>0</v>
      </c>
      <c r="K18" s="87">
        <f>IF(K$14&lt;=Inicio!$D$13,IF(K$14&lt;=$C$19,+J18-K17,0),0)</f>
        <v>0</v>
      </c>
      <c r="L18" s="87">
        <f>IF(L$14&lt;=Inicio!$D$13,IF(L$14&lt;=$C$19,+K18-L17,0),0)</f>
        <v>0</v>
      </c>
      <c r="M18" s="87">
        <f>IF(M$14&lt;=Inicio!$D$13,IF(M$14&lt;=$C$19,+L18-M17,0),0)</f>
        <v>0</v>
      </c>
      <c r="N18" s="87">
        <f>IF(N$14&lt;=Inicio!$D$13,IF(N$14&lt;=$C$19,+M18-N17,0),0)</f>
        <v>0</v>
      </c>
      <c r="O18" s="87">
        <f>IF(O$14&lt;=Inicio!$D$13,IF(O$14&lt;=$C$19,+N18-O17,0),0)</f>
        <v>0</v>
      </c>
      <c r="P18" s="87">
        <f>IF(P$14&lt;=Inicio!$D$13,IF(P$14&lt;=$C$19,+O18-P17,0),0)</f>
        <v>0</v>
      </c>
      <c r="Q18" s="87">
        <f>IF(Q$14&lt;=Inicio!$D$13,IF(Q$14&lt;=$C$19,+P18-Q17,0),0)</f>
        <v>0</v>
      </c>
      <c r="R18" s="87">
        <f>IF(R$14&lt;=Inicio!$D$13,IF(R$14&lt;=$C$19,+Q18-R17,0),0)</f>
        <v>0</v>
      </c>
      <c r="S18" s="82"/>
    </row>
    <row r="19" spans="2:171" ht="16.5" thickTop="1" thickBot="1" x14ac:dyDescent="0.3">
      <c r="B19" s="83" t="s">
        <v>79</v>
      </c>
      <c r="C19" s="85">
        <f>IF(Inicio!$F$13="Años",Inicio!E140,Inicio!E140*12)</f>
        <v>3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2"/>
    </row>
    <row r="20" spans="2:171" ht="16.5" thickTop="1" thickBot="1" x14ac:dyDescent="0.3">
      <c r="B20" s="83" t="s">
        <v>99</v>
      </c>
      <c r="C20" s="84">
        <f>(C15*(C16/(1-(+POWER((1+C16),-C19)))))/(1+C16)</f>
        <v>45148801.297962412</v>
      </c>
      <c r="D20" s="89" t="s">
        <v>0</v>
      </c>
      <c r="E20" s="89" t="s">
        <v>0</v>
      </c>
      <c r="F20" s="89" t="s">
        <v>0</v>
      </c>
      <c r="G20" s="89" t="s">
        <v>0</v>
      </c>
      <c r="H20" s="89" t="s">
        <v>0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2"/>
    </row>
    <row r="21" spans="2:171" ht="16.5" thickTop="1" thickBot="1" x14ac:dyDescent="0.3">
      <c r="B21" s="83" t="s">
        <v>98</v>
      </c>
      <c r="C21" s="84">
        <f>C15*(C16/(1-(+POWER((1+C16),-C19))))</f>
        <v>52372609.505636394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2"/>
    </row>
    <row r="22" spans="2:171" ht="14.25" thickTop="1" thickBot="1" x14ac:dyDescent="0.25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2"/>
    </row>
    <row r="23" spans="2:171" ht="16.5" thickTop="1" thickBot="1" x14ac:dyDescent="0.3">
      <c r="B23" s="80" t="s">
        <v>6</v>
      </c>
      <c r="C23" s="80">
        <v>0</v>
      </c>
      <c r="D23" s="80">
        <v>1</v>
      </c>
      <c r="E23" s="80">
        <v>2</v>
      </c>
      <c r="F23" s="80">
        <v>3</v>
      </c>
      <c r="G23" s="80">
        <v>4</v>
      </c>
      <c r="H23" s="80">
        <v>5</v>
      </c>
      <c r="I23" s="90">
        <v>6</v>
      </c>
      <c r="J23" s="91">
        <v>7</v>
      </c>
      <c r="K23" s="90">
        <v>8</v>
      </c>
      <c r="L23" s="91">
        <v>9</v>
      </c>
      <c r="M23" s="90">
        <v>10</v>
      </c>
      <c r="N23" s="90">
        <v>11</v>
      </c>
      <c r="O23" s="91">
        <v>12</v>
      </c>
      <c r="P23" s="90">
        <v>13</v>
      </c>
      <c r="Q23" s="91">
        <v>14</v>
      </c>
      <c r="R23" s="90">
        <v>15</v>
      </c>
      <c r="S23" s="82"/>
    </row>
    <row r="24" spans="2:171" ht="16.5" thickTop="1" thickBot="1" x14ac:dyDescent="0.3">
      <c r="B24" s="83" t="str">
        <f>Inicio!C141</f>
        <v>PRESTAMO 3</v>
      </c>
      <c r="C24" s="92">
        <f>+'inversión inicial'!D30</f>
        <v>78415397.260273978</v>
      </c>
      <c r="D24" s="85"/>
      <c r="E24" s="85"/>
      <c r="F24" s="85"/>
      <c r="G24" s="85"/>
      <c r="H24" s="85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82"/>
    </row>
    <row r="25" spans="2:171" ht="16.5" thickTop="1" thickBot="1" x14ac:dyDescent="0.3">
      <c r="B25" s="83" t="s">
        <v>30</v>
      </c>
      <c r="C25" s="86">
        <f>IF(Inicio!$F$13="Años",Inicio!D141,(POWER(Inicio!D141+1,1/12)-1))</f>
        <v>0.15</v>
      </c>
      <c r="D25" s="84">
        <f>IF(D$14&lt;=Inicio!$D$13,+C24*C25,0)</f>
        <v>11762309.589041097</v>
      </c>
      <c r="E25" s="84">
        <f>IF(E$23&lt;=Inicio!$D$13,+D27*$C25,0)</f>
        <v>8375035.4093316356</v>
      </c>
      <c r="F25" s="84">
        <f>IF(F$23&lt;=Inicio!$D$13,+E27*$C25,0)</f>
        <v>4479670.102665755</v>
      </c>
      <c r="G25" s="84">
        <f>IF(G$23&lt;=Inicio!$D$13,+F27*$C25,0)</f>
        <v>0</v>
      </c>
      <c r="H25" s="84">
        <f>IF(H$23&lt;=Inicio!$D$13,+G27*$C25,0)</f>
        <v>0</v>
      </c>
      <c r="I25" s="94">
        <f>IF(I$23&lt;=Inicio!$D$13,+H27*$C25,0)</f>
        <v>0</v>
      </c>
      <c r="J25" s="94">
        <f>IF(J$23&lt;=Inicio!$D$13,+I27*$C25,0)</f>
        <v>0</v>
      </c>
      <c r="K25" s="94">
        <f>IF(K$23&lt;=Inicio!$D$13,+J27*$C25,0)</f>
        <v>0</v>
      </c>
      <c r="L25" s="94">
        <f>IF(L$23&lt;=Inicio!$D$13,+K27*$C25,0)</f>
        <v>0</v>
      </c>
      <c r="M25" s="94">
        <f>IF(M$23&lt;=Inicio!$D$13,+L27*$C25,0)</f>
        <v>0</v>
      </c>
      <c r="N25" s="94">
        <f>IF(N$23&lt;=Inicio!$D$13,+M27*$C25,0)</f>
        <v>0</v>
      </c>
      <c r="O25" s="94">
        <f>IF(O$23&lt;=Inicio!$D$13,+N27*$C25,0)</f>
        <v>0</v>
      </c>
      <c r="P25" s="94">
        <f>IF(P$23&lt;=Inicio!$D$13,+O27*$C25,0)</f>
        <v>0</v>
      </c>
      <c r="Q25" s="94">
        <f>IF(Q$23&lt;=Inicio!$D$13,+P27*$C25,0)</f>
        <v>0</v>
      </c>
      <c r="R25" s="94">
        <f>IF(R$23&lt;=Inicio!$D$13,+Q27*$C25,0)</f>
        <v>0</v>
      </c>
      <c r="S25" s="95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</row>
    <row r="26" spans="2:171" ht="16.5" thickTop="1" thickBot="1" x14ac:dyDescent="0.3">
      <c r="B26" s="83" t="s">
        <v>31</v>
      </c>
      <c r="C26" s="85"/>
      <c r="D26" s="84">
        <f>IF(D$14&lt;=Inicio!$D$13,IF(D$23&lt;=$C$28,+$C$30-D25,0),0)</f>
        <v>22581827.86472974</v>
      </c>
      <c r="E26" s="84">
        <f>IF(E$14&lt;=Inicio!$D$13,IF(E$23&lt;=$C$28,+$C$30-E25,0),0)</f>
        <v>25969102.044439204</v>
      </c>
      <c r="F26" s="84">
        <f>IF(F$14&lt;=Inicio!$D$13,IF(F$23&lt;=$C$28,+$C$30-F25,0),0)</f>
        <v>29864467.351105083</v>
      </c>
      <c r="G26" s="84">
        <f>IF(G$14&lt;=Inicio!$D$13,IF(G$23&lt;=$C$28,+$C$30-G25,0),0)</f>
        <v>0</v>
      </c>
      <c r="H26" s="84">
        <f>IF(H$14&lt;=Inicio!$D$13,IF(H$23&lt;=$C$28,+$C$30-H25,0),0)</f>
        <v>0</v>
      </c>
      <c r="I26" s="97">
        <f>IF(I$14&lt;=Inicio!$D$13,IF(I$23&lt;=$C$28,+$C$30-I25,0),0)</f>
        <v>0</v>
      </c>
      <c r="J26" s="97">
        <f>IF(J$14&lt;=Inicio!$D$13,IF(J$23&lt;=$C$28,+$C$30-J25,0),0)</f>
        <v>0</v>
      </c>
      <c r="K26" s="97">
        <f>IF(K$14&lt;=Inicio!$D$13,IF(K$23&lt;=$C$28,+$C$30-K25,0),0)</f>
        <v>0</v>
      </c>
      <c r="L26" s="97">
        <f>IF(L$14&lt;=Inicio!$D$13,IF(L$23&lt;=$C$28,+$C$30-L25,0),0)</f>
        <v>0</v>
      </c>
      <c r="M26" s="97">
        <f>IF(M$14&lt;=Inicio!$D$13,IF(M$23&lt;=$C$28,+$C$30-M25,0),0)</f>
        <v>0</v>
      </c>
      <c r="N26" s="97">
        <f>IF(N$14&lt;=Inicio!$D$13,IF(N$23&lt;=$C$28,+$C$30-N25,0),0)</f>
        <v>0</v>
      </c>
      <c r="O26" s="97">
        <f>IF(O$14&lt;=Inicio!$D$13,IF(O$23&lt;=$C$28,+$C$30-O25,0),0)</f>
        <v>0</v>
      </c>
      <c r="P26" s="97">
        <f>IF(P$14&lt;=Inicio!$D$13,IF(P$23&lt;=$C$28,+$C$30-P25,0),0)</f>
        <v>0</v>
      </c>
      <c r="Q26" s="97">
        <f>IF(Q$14&lt;=Inicio!$D$13,IF(Q$23&lt;=$C$28,+$C$30-Q25,0),0)</f>
        <v>0</v>
      </c>
      <c r="R26" s="97">
        <f>IF(R$14&lt;=Inicio!$D$13,IF(R$23&lt;=$C$28,+$C$30-R25,0),0)</f>
        <v>0</v>
      </c>
      <c r="S26" s="95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</row>
    <row r="27" spans="2:171" ht="16.5" thickTop="1" thickBot="1" x14ac:dyDescent="0.3">
      <c r="B27" s="83" t="s">
        <v>32</v>
      </c>
      <c r="C27" s="85"/>
      <c r="D27" s="84">
        <f>IF(D$23&lt;=Inicio!$D$13,IF(D$23&lt;=$C$28,+C24-D26,0),0)</f>
        <v>55833569.395544238</v>
      </c>
      <c r="E27" s="84">
        <f>IF(E$23&lt;=Inicio!$D$13,IF(E$23&lt;=$C$28,+D27-E26,0),0)</f>
        <v>29864467.351105034</v>
      </c>
      <c r="F27" s="84">
        <f>IF(F$23&lt;=Inicio!$D$13,IF(F$23&lt;=$C$28,+E27-F26,0),0)</f>
        <v>-4.8428773880004883E-8</v>
      </c>
      <c r="G27" s="84">
        <f>IF(G$23&lt;=Inicio!$D$13,IF(G$23&lt;=$C$28,+F27-G26,0),0)</f>
        <v>0</v>
      </c>
      <c r="H27" s="84">
        <f>IF(H$23&lt;=Inicio!$D$13,IF(H$23&lt;=$C$28,+G27-H26,0),0)</f>
        <v>0</v>
      </c>
      <c r="I27" s="98">
        <f>IF(I$23&lt;=Inicio!$D$13,IF(I$23&lt;=$C$28,+H27-I26,0),0)</f>
        <v>0</v>
      </c>
      <c r="J27" s="98">
        <f>IF(J$23&lt;=Inicio!$D$13,IF(J$23&lt;=$C$28,+I27-J26,0),0)</f>
        <v>0</v>
      </c>
      <c r="K27" s="98">
        <f>IF(K$23&lt;=Inicio!$D$13,IF(K$23&lt;=$C$28,+J27-K26,0),0)</f>
        <v>0</v>
      </c>
      <c r="L27" s="98">
        <f>IF(L$23&lt;=Inicio!$D$13,IF(L$23&lt;=$C$28,+K27-L26,0),0)</f>
        <v>0</v>
      </c>
      <c r="M27" s="98">
        <f>IF(M$23&lt;=Inicio!$D$13,IF(M$23&lt;=$C$28,+L27-M26,0),0)</f>
        <v>0</v>
      </c>
      <c r="N27" s="98">
        <f>IF(N$23&lt;=Inicio!$D$13,IF(N$23&lt;=$C$28,+M27-N26,0),0)</f>
        <v>0</v>
      </c>
      <c r="O27" s="98">
        <f>IF(O$23&lt;=Inicio!$D$13,IF(O$23&lt;=$C$28,+N27-O26,0),0)</f>
        <v>0</v>
      </c>
      <c r="P27" s="98">
        <f>IF(P$23&lt;=Inicio!$D$13,IF(P$23&lt;=$C$28,+O27-P26,0),0)</f>
        <v>0</v>
      </c>
      <c r="Q27" s="98">
        <f>IF(Q$23&lt;=Inicio!$D$13,IF(Q$23&lt;=$C$28,+P27-Q26,0),0)</f>
        <v>0</v>
      </c>
      <c r="R27" s="98">
        <f>IF(R$23&lt;=Inicio!$D$13,IF(R$23&lt;=$C$28,+Q27-R26,0),0)</f>
        <v>0</v>
      </c>
      <c r="S27" s="95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</row>
    <row r="28" spans="2:171" ht="16.5" thickTop="1" thickBot="1" x14ac:dyDescent="0.3">
      <c r="B28" s="83" t="s">
        <v>79</v>
      </c>
      <c r="C28" s="84">
        <f>IF(Inicio!$F$13="Años",Inicio!E141,Inicio!E141*12)</f>
        <v>3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2"/>
    </row>
    <row r="29" spans="2:171" ht="16.5" thickTop="1" thickBot="1" x14ac:dyDescent="0.3">
      <c r="B29" s="83" t="s">
        <v>99</v>
      </c>
      <c r="C29" s="92">
        <f>IF(ISERROR(C24*(C25/(1-(+POWER((1+C25),-C28)))))/(1+C25),"",(C24*(C25/(1-(+POWER((1+C25),-C28)))))/(1+C25))</f>
        <v>29864467.351105079</v>
      </c>
      <c r="D29" s="89"/>
      <c r="E29" s="89" t="s">
        <v>0</v>
      </c>
      <c r="F29" s="89" t="s">
        <v>0</v>
      </c>
      <c r="G29" s="89" t="s">
        <v>0</v>
      </c>
      <c r="H29" s="89" t="s">
        <v>0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2"/>
    </row>
    <row r="30" spans="2:171" ht="16.5" thickTop="1" thickBot="1" x14ac:dyDescent="0.3">
      <c r="B30" s="83" t="s">
        <v>98</v>
      </c>
      <c r="C30" s="92">
        <f>IF(ISERROR(C24*(C25/(1-(+POWER((1+C25),-C28))))),"",C24*(C25/(1-(+POWER((1+C25),-C28)))))</f>
        <v>34344137.453770839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2"/>
    </row>
    <row r="31" spans="2:171" ht="13.5" thickTop="1" x14ac:dyDescent="0.2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2:171" hidden="1" x14ac:dyDescent="0.2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2:18" hidden="1" x14ac:dyDescent="0.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2:18" hidden="1" x14ac:dyDescent="0.2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2:18" hidden="1" x14ac:dyDescent="0.2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2:18" hidden="1" x14ac:dyDescent="0.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</row>
    <row r="37" spans="2:18" hidden="1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</row>
    <row r="38" spans="2:18" hidden="1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2:18" hidden="1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</row>
    <row r="40" spans="2:18" hidden="1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</row>
    <row r="41" spans="2:18" hidden="1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</row>
    <row r="42" spans="2:18" hidden="1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</row>
    <row r="43" spans="2:18" hidden="1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</row>
    <row r="44" spans="2:18" hidden="1" x14ac:dyDescent="0.2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2:18" hidden="1" x14ac:dyDescent="0.2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2:18" hidden="1" x14ac:dyDescent="0.2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2:18" hidden="1" x14ac:dyDescent="0.2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</row>
    <row r="48" spans="2:18" hidden="1" x14ac:dyDescent="0.2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</row>
    <row r="49" hidden="1" x14ac:dyDescent="0.2"/>
    <row r="50" hidden="1" x14ac:dyDescent="0.2"/>
    <row r="51" hidden="1" x14ac:dyDescent="0.2"/>
    <row r="52" x14ac:dyDescent="0.2"/>
    <row r="53" x14ac:dyDescent="0.2"/>
  </sheetData>
  <sheetProtection password="99B7" sheet="1" objects="1" scenarios="1"/>
  <customSheetViews>
    <customSheetView guid="{4BF10618-D357-11D5-9338-EFF21189730A}" showGridLines="0" showRowCol="0" outlineSymbols="0" showRuler="0">
      <selection activeCell="B28" sqref="B28"/>
      <pageMargins left="0.31496062992125984" right="0.51181102362204722" top="0.98425196850393704" bottom="0.98425196850393704" header="0" footer="0"/>
      <printOptions horizontalCentered="1"/>
      <pageSetup scale="60" orientation="landscape" horizontalDpi="180" verticalDpi="180" r:id="rId1"/>
      <headerFooter alignWithMargins="0"/>
    </customSheetView>
  </customSheetViews>
  <mergeCells count="3">
    <mergeCell ref="B2:R2"/>
    <mergeCell ref="B3:R3"/>
    <mergeCell ref="B4:R4"/>
  </mergeCells>
  <printOptions horizontalCentered="1"/>
  <pageMargins left="0.31496062992125984" right="0.51181102362204722" top="0.98425196850393704" bottom="0.98425196850393704" header="0" footer="0"/>
  <pageSetup scale="60" orientation="landscape" horizontalDpi="180" verticalDpi="180" r:id="rId2"/>
  <headerFooter alignWithMargins="0"/>
  <ignoredErrors>
    <ignoredError sqref="B2:R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S27"/>
  <sheetViews>
    <sheetView showGridLines="0" showRowColHeaders="0" showOutlineSymbols="0" workbookViewId="0">
      <selection activeCell="D10" sqref="D10"/>
    </sheetView>
  </sheetViews>
  <sheetFormatPr baseColWidth="10" defaultColWidth="0" defaultRowHeight="12.75" zeroHeight="1" x14ac:dyDescent="0.2"/>
  <cols>
    <col min="1" max="1" width="5.140625" style="79" customWidth="1"/>
    <col min="2" max="2" width="33.5703125" style="79" bestFit="1" customWidth="1"/>
    <col min="3" max="3" width="15.42578125" style="79" bestFit="1" customWidth="1"/>
    <col min="4" max="4" width="16.7109375" style="79" bestFit="1" customWidth="1"/>
    <col min="5" max="6" width="17.42578125" style="79" bestFit="1" customWidth="1"/>
    <col min="7" max="7" width="17.85546875" style="79" hidden="1" customWidth="1"/>
    <col min="8" max="8" width="17.7109375" style="79" hidden="1" customWidth="1"/>
    <col min="9" max="17" width="7.140625" style="79" hidden="1" customWidth="1"/>
    <col min="18" max="18" width="6.5703125" style="79" hidden="1" customWidth="1"/>
    <col min="19" max="19" width="6.42578125" style="79" customWidth="1"/>
    <col min="20" max="16384" width="17.85546875" style="79" hidden="1"/>
  </cols>
  <sheetData>
    <row r="1" spans="2:18" ht="18" x14ac:dyDescent="0.25">
      <c r="B1" s="295" t="str">
        <f>financiación!B2</f>
        <v>PROYECTO E-VISTETIC S.A.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2:18" x14ac:dyDescent="0.2">
      <c r="B2" s="296" t="s">
        <v>91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2:18" ht="13.5" thickBot="1" x14ac:dyDescent="0.25">
      <c r="B3" s="293" t="str">
        <f>IF(Inicio!$F$13="Años","En Años","En Meses")</f>
        <v>En Años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</row>
    <row r="4" spans="2:18" ht="16.5" thickTop="1" thickBot="1" x14ac:dyDescent="0.3">
      <c r="B4" s="80" t="s">
        <v>286</v>
      </c>
      <c r="C4" s="80">
        <v>0</v>
      </c>
      <c r="D4" s="80">
        <v>1</v>
      </c>
      <c r="E4" s="80">
        <v>2</v>
      </c>
      <c r="F4" s="80">
        <v>3</v>
      </c>
      <c r="G4" s="80">
        <v>4</v>
      </c>
      <c r="H4" s="80">
        <v>5</v>
      </c>
      <c r="I4" s="80">
        <v>6</v>
      </c>
      <c r="J4" s="80">
        <v>7</v>
      </c>
      <c r="K4" s="80">
        <v>8</v>
      </c>
      <c r="L4" s="80">
        <v>9</v>
      </c>
      <c r="M4" s="80">
        <v>10</v>
      </c>
      <c r="N4" s="80">
        <v>11</v>
      </c>
      <c r="O4" s="80">
        <v>12</v>
      </c>
      <c r="P4" s="80">
        <v>13</v>
      </c>
      <c r="Q4" s="80">
        <v>14</v>
      </c>
      <c r="R4" s="80">
        <v>15</v>
      </c>
    </row>
    <row r="5" spans="2:18" ht="20.25" thickTop="1" thickBot="1" x14ac:dyDescent="0.35">
      <c r="B5" s="315" t="s">
        <v>8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7"/>
    </row>
    <row r="6" spans="2:18" ht="16.5" thickTop="1" thickBot="1" x14ac:dyDescent="0.3">
      <c r="B6" s="83" t="s">
        <v>302</v>
      </c>
      <c r="C6" s="87">
        <v>0</v>
      </c>
      <c r="D6" s="87">
        <f>+'presupuesto compras y ventas'!C47</f>
        <v>1250060000</v>
      </c>
      <c r="E6" s="87">
        <f>+'presupuesto compras y ventas'!D47</f>
        <v>2298944025</v>
      </c>
      <c r="F6" s="87">
        <f>+'presupuesto compras y ventas'!E47</f>
        <v>3708137475</v>
      </c>
      <c r="G6" s="87">
        <f>+'presupuesto compras y ventas'!F47</f>
        <v>0</v>
      </c>
      <c r="H6" s="87">
        <f>+'presupuesto compras y ventas'!G47</f>
        <v>0</v>
      </c>
      <c r="I6" s="171">
        <f>+'presupuesto compras y ventas'!H47</f>
        <v>0</v>
      </c>
      <c r="J6" s="171">
        <f>+'presupuesto compras y ventas'!I47</f>
        <v>0</v>
      </c>
      <c r="K6" s="171">
        <f>+'presupuesto compras y ventas'!J47</f>
        <v>0</v>
      </c>
      <c r="L6" s="171">
        <f>+'presupuesto compras y ventas'!K47</f>
        <v>0</v>
      </c>
      <c r="M6" s="171">
        <f>+'presupuesto compras y ventas'!L47</f>
        <v>0</v>
      </c>
      <c r="N6" s="171">
        <f>+'presupuesto compras y ventas'!M47</f>
        <v>0</v>
      </c>
      <c r="O6" s="171">
        <f>+'presupuesto compras y ventas'!N47</f>
        <v>0</v>
      </c>
      <c r="P6" s="171">
        <f>+'presupuesto compras y ventas'!O47</f>
        <v>0</v>
      </c>
      <c r="Q6" s="171">
        <f>+'presupuesto compras y ventas'!P47</f>
        <v>0</v>
      </c>
      <c r="R6" s="171">
        <f>+'presupuesto compras y ventas'!Q47</f>
        <v>0</v>
      </c>
    </row>
    <row r="7" spans="2:18" ht="16.5" thickTop="1" thickBot="1" x14ac:dyDescent="0.3">
      <c r="B7" s="83" t="s">
        <v>307</v>
      </c>
      <c r="C7" s="87"/>
      <c r="D7" s="87">
        <v>0</v>
      </c>
      <c r="E7" s="87">
        <f>+'presupuesto compras y ventas'!C46</f>
        <v>535740000</v>
      </c>
      <c r="F7" s="87">
        <f>+'presupuesto compras y ventas'!D46</f>
        <v>985261725</v>
      </c>
      <c r="G7" s="87">
        <f>+'presupuesto compras y ventas'!E46</f>
        <v>0</v>
      </c>
      <c r="H7" s="87">
        <f>+'presupuesto compras y ventas'!F46</f>
        <v>0</v>
      </c>
      <c r="I7" s="171">
        <f>+'presupuesto compras y ventas'!G46</f>
        <v>0</v>
      </c>
      <c r="J7" s="171">
        <f>+'presupuesto compras y ventas'!H46</f>
        <v>0</v>
      </c>
      <c r="K7" s="171">
        <f>+'presupuesto compras y ventas'!I46</f>
        <v>0</v>
      </c>
      <c r="L7" s="171">
        <f>+'presupuesto compras y ventas'!J46</f>
        <v>0</v>
      </c>
      <c r="M7" s="171">
        <f>+'presupuesto compras y ventas'!K46</f>
        <v>0</v>
      </c>
      <c r="N7" s="171">
        <f>+'presupuesto compras y ventas'!L46</f>
        <v>0</v>
      </c>
      <c r="O7" s="171">
        <f>+'presupuesto compras y ventas'!M46</f>
        <v>0</v>
      </c>
      <c r="P7" s="171">
        <f>+'presupuesto compras y ventas'!N46</f>
        <v>0</v>
      </c>
      <c r="Q7" s="171">
        <f>+'presupuesto compras y ventas'!O46</f>
        <v>0</v>
      </c>
      <c r="R7" s="171">
        <f>+'presupuesto compras y ventas'!P46</f>
        <v>0</v>
      </c>
    </row>
    <row r="8" spans="2:18" ht="16.5" thickTop="1" thickBot="1" x14ac:dyDescent="0.3">
      <c r="B8" s="83" t="s">
        <v>10</v>
      </c>
      <c r="C8" s="87">
        <v>0</v>
      </c>
      <c r="D8" s="87">
        <f>IF(D$4&lt;=Inicio!$D$13,+C24,0)</f>
        <v>316153972.60273957</v>
      </c>
      <c r="E8" s="87">
        <f>IF(E$4&lt;=Inicio!$D$13,+D24,0)</f>
        <v>180453561.09587812</v>
      </c>
      <c r="F8" s="87">
        <f>IF(F$4&lt;=Inicio!$D$13,+E24,0)</f>
        <v>1303376386.2533085</v>
      </c>
      <c r="G8" s="87">
        <f>IF(G$4&lt;=Inicio!$D$13,+F24,0)</f>
        <v>0</v>
      </c>
      <c r="H8" s="87">
        <f>IF(H$4&lt;=Inicio!$D$13,+G24,0)</f>
        <v>0</v>
      </c>
      <c r="I8" s="171">
        <f>IF(I$4&lt;=Inicio!$D$13,+H24,0)</f>
        <v>0</v>
      </c>
      <c r="J8" s="171">
        <f>IF(J$4&lt;=Inicio!$D$13,+I24,0)</f>
        <v>0</v>
      </c>
      <c r="K8" s="171">
        <f>IF(K$4&lt;=Inicio!$D$13,+J24,0)</f>
        <v>0</v>
      </c>
      <c r="L8" s="171">
        <f>IF(L$4&lt;=Inicio!$D$13,+K24,0)</f>
        <v>0</v>
      </c>
      <c r="M8" s="171">
        <f>IF(M$4&lt;=Inicio!$D$13,+L24,0)</f>
        <v>0</v>
      </c>
      <c r="N8" s="171">
        <f>IF(N$4&lt;=Inicio!$D$13,+M24,0)</f>
        <v>0</v>
      </c>
      <c r="O8" s="171">
        <f>IF(O$4&lt;=Inicio!$D$13,+N24,0)</f>
        <v>0</v>
      </c>
      <c r="P8" s="171">
        <f>IF(P$4&lt;=Inicio!$D$13,+O24,0)</f>
        <v>0</v>
      </c>
      <c r="Q8" s="171">
        <f>IF(Q$4&lt;=Inicio!$D$13,+P24,0)</f>
        <v>0</v>
      </c>
      <c r="R8" s="171">
        <f>IF(R$4&lt;=Inicio!$D$13,+Q24,0)</f>
        <v>0</v>
      </c>
    </row>
    <row r="9" spans="2:18" ht="16.5" thickTop="1" thickBot="1" x14ac:dyDescent="0.3">
      <c r="B9" s="83" t="s">
        <v>158</v>
      </c>
      <c r="C9" s="87">
        <f>+financiación!C6+financiación!C15+financiación!C24</f>
        <v>313661589.04109585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</row>
    <row r="10" spans="2:18" ht="16.5" thickTop="1" thickBot="1" x14ac:dyDescent="0.3">
      <c r="B10" s="83" t="s">
        <v>14</v>
      </c>
      <c r="C10" s="87">
        <f>+'inversión inicial'!D27</f>
        <v>470492383.56164378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</row>
    <row r="11" spans="2:18" ht="16.5" thickTop="1" thickBot="1" x14ac:dyDescent="0.3">
      <c r="B11" s="83"/>
      <c r="C11" s="87"/>
      <c r="D11" s="87"/>
      <c r="E11" s="87"/>
      <c r="F11" s="87"/>
      <c r="G11" s="87"/>
      <c r="H11" s="87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2:18" ht="16.5" thickTop="1" thickBot="1" x14ac:dyDescent="0.3">
      <c r="B12" s="154" t="s">
        <v>11</v>
      </c>
      <c r="C12" s="155">
        <f t="shared" ref="C12:R12" si="0">SUM(C6:C11)</f>
        <v>784153972.60273957</v>
      </c>
      <c r="D12" s="155">
        <f t="shared" si="0"/>
        <v>1566213972.6027396</v>
      </c>
      <c r="E12" s="155">
        <f t="shared" si="0"/>
        <v>3015137586.0958781</v>
      </c>
      <c r="F12" s="155">
        <f t="shared" si="0"/>
        <v>5996775586.2533083</v>
      </c>
      <c r="G12" s="155">
        <f t="shared" si="0"/>
        <v>0</v>
      </c>
      <c r="H12" s="155">
        <f t="shared" si="0"/>
        <v>0</v>
      </c>
      <c r="I12" s="155">
        <f t="shared" si="0"/>
        <v>0</v>
      </c>
      <c r="J12" s="155">
        <f t="shared" si="0"/>
        <v>0</v>
      </c>
      <c r="K12" s="155">
        <f t="shared" si="0"/>
        <v>0</v>
      </c>
      <c r="L12" s="155">
        <f t="shared" si="0"/>
        <v>0</v>
      </c>
      <c r="M12" s="155">
        <f t="shared" si="0"/>
        <v>0</v>
      </c>
      <c r="N12" s="155">
        <f t="shared" si="0"/>
        <v>0</v>
      </c>
      <c r="O12" s="155">
        <f t="shared" si="0"/>
        <v>0</v>
      </c>
      <c r="P12" s="155">
        <f t="shared" si="0"/>
        <v>0</v>
      </c>
      <c r="Q12" s="155">
        <f t="shared" si="0"/>
        <v>0</v>
      </c>
      <c r="R12" s="155">
        <f t="shared" si="0"/>
        <v>0</v>
      </c>
    </row>
    <row r="13" spans="2:18" ht="20.25" thickTop="1" thickBot="1" x14ac:dyDescent="0.35">
      <c r="B13" s="315" t="s">
        <v>12</v>
      </c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7"/>
    </row>
    <row r="14" spans="2:18" ht="16.5" thickTop="1" thickBot="1" x14ac:dyDescent="0.3">
      <c r="B14" s="83" t="s">
        <v>298</v>
      </c>
      <c r="C14" s="85"/>
      <c r="D14" s="87">
        <f>IF(Inicio!$F$13="Años",(+'presupuesto compras y ventas'!C9),('presupuesto compras y ventas'!C9))</f>
        <v>719400800</v>
      </c>
      <c r="E14" s="87">
        <f>+'presupuesto compras y ventas'!D9</f>
        <v>885465999</v>
      </c>
      <c r="F14" s="87">
        <f>+'presupuesto compras y ventas'!E9</f>
        <v>944570534.22000003</v>
      </c>
      <c r="G14" s="87">
        <f>+'presupuesto compras y ventas'!F9</f>
        <v>0</v>
      </c>
      <c r="H14" s="87">
        <f>+'presupuesto compras y ventas'!G9</f>
        <v>0</v>
      </c>
      <c r="I14" s="171">
        <f>+'presupuesto compras y ventas'!H9</f>
        <v>0</v>
      </c>
      <c r="J14" s="171">
        <f>+'presupuesto compras y ventas'!I9</f>
        <v>0</v>
      </c>
      <c r="K14" s="171">
        <f>+'presupuesto compras y ventas'!J9</f>
        <v>0</v>
      </c>
      <c r="L14" s="171">
        <f>+'presupuesto compras y ventas'!K9</f>
        <v>0</v>
      </c>
      <c r="M14" s="171">
        <f>+'presupuesto compras y ventas'!L9</f>
        <v>0</v>
      </c>
      <c r="N14" s="171">
        <f>+'presupuesto compras y ventas'!M9</f>
        <v>0</v>
      </c>
      <c r="O14" s="171">
        <f>+'presupuesto compras y ventas'!N9</f>
        <v>0</v>
      </c>
      <c r="P14" s="171">
        <f>+'presupuesto compras y ventas'!O9</f>
        <v>0</v>
      </c>
      <c r="Q14" s="171">
        <f>+'presupuesto compras y ventas'!P9</f>
        <v>0</v>
      </c>
      <c r="R14" s="171">
        <f>+'presupuesto compras y ventas'!Q9</f>
        <v>0</v>
      </c>
    </row>
    <row r="15" spans="2:18" ht="16.5" thickTop="1" thickBot="1" x14ac:dyDescent="0.3">
      <c r="B15" s="83" t="s">
        <v>123</v>
      </c>
      <c r="C15" s="85"/>
      <c r="D15" s="87">
        <f>+'análisis inversionista'!D12</f>
        <v>93960000</v>
      </c>
      <c r="E15" s="87">
        <f>+'análisis inversionista'!E12</f>
        <v>96778800</v>
      </c>
      <c r="F15" s="87">
        <f>+'análisis inversionista'!F12</f>
        <v>99682164</v>
      </c>
      <c r="G15" s="87" t="e">
        <f>+'análisis inversionista'!G12</f>
        <v>#VALUE!</v>
      </c>
      <c r="H15" s="87" t="e">
        <f>+'análisis inversionista'!H12</f>
        <v>#VALUE!</v>
      </c>
      <c r="I15" s="171">
        <f>+'análisis inversionista'!I12</f>
        <v>0</v>
      </c>
      <c r="J15" s="171">
        <f>+'análisis inversionista'!J12</f>
        <v>0</v>
      </c>
      <c r="K15" s="171">
        <f>+'análisis inversionista'!K12</f>
        <v>0</v>
      </c>
      <c r="L15" s="171">
        <f>+'análisis inversionista'!L12</f>
        <v>0</v>
      </c>
      <c r="M15" s="171">
        <f>+'análisis inversionista'!M12</f>
        <v>0</v>
      </c>
      <c r="N15" s="171">
        <f>+'análisis inversionista'!N12</f>
        <v>0</v>
      </c>
      <c r="O15" s="171">
        <f>+'análisis inversionista'!O12</f>
        <v>0</v>
      </c>
      <c r="P15" s="171">
        <f>+'análisis inversionista'!P12</f>
        <v>0</v>
      </c>
      <c r="Q15" s="171">
        <f>+'análisis inversionista'!Q12</f>
        <v>0</v>
      </c>
      <c r="R15" s="171">
        <f>+'análisis inversionista'!R12</f>
        <v>0</v>
      </c>
    </row>
    <row r="16" spans="2:18" ht="16.5" thickTop="1" thickBot="1" x14ac:dyDescent="0.3">
      <c r="B16" s="83" t="s">
        <v>124</v>
      </c>
      <c r="C16" s="85"/>
      <c r="D16" s="87">
        <f>IF(Inicio!$F$13="Años",(+'análisis inversionista'!D7),('análisis inversionista'!D7))</f>
        <v>432656640</v>
      </c>
      <c r="E16" s="87">
        <f>+'análisis inversionista'!E7</f>
        <v>445636339.19999999</v>
      </c>
      <c r="F16" s="87">
        <f>+'análisis inversionista'!F7</f>
        <v>459005429.37599999</v>
      </c>
      <c r="G16" s="87">
        <f>+'análisis inversionista'!G7</f>
        <v>0</v>
      </c>
      <c r="H16" s="87">
        <f>+'análisis inversionista'!H7</f>
        <v>0</v>
      </c>
      <c r="I16" s="171">
        <f>+'análisis inversionista'!I7</f>
        <v>0</v>
      </c>
      <c r="J16" s="171">
        <f>+'análisis inversionista'!J7</f>
        <v>0</v>
      </c>
      <c r="K16" s="171">
        <f>+'análisis inversionista'!K7</f>
        <v>0</v>
      </c>
      <c r="L16" s="171">
        <f>+'análisis inversionista'!L7</f>
        <v>0</v>
      </c>
      <c r="M16" s="171">
        <f>+'análisis inversionista'!M7</f>
        <v>0</v>
      </c>
      <c r="N16" s="171">
        <f>+'análisis inversionista'!N7</f>
        <v>0</v>
      </c>
      <c r="O16" s="171">
        <f>+'análisis inversionista'!O7</f>
        <v>0</v>
      </c>
      <c r="P16" s="171">
        <f>+'análisis inversionista'!P7</f>
        <v>0</v>
      </c>
      <c r="Q16" s="171">
        <f>+'análisis inversionista'!Q7</f>
        <v>0</v>
      </c>
      <c r="R16" s="171">
        <f>+'análisis inversionista'!R7</f>
        <v>0</v>
      </c>
    </row>
    <row r="17" spans="2:18" ht="16.5" thickTop="1" thickBot="1" x14ac:dyDescent="0.3">
      <c r="B17" s="83" t="s">
        <v>162</v>
      </c>
      <c r="C17" s="85"/>
      <c r="D17" s="87">
        <f>+'análisis inversionista'!D29</f>
        <v>89447335.704121798</v>
      </c>
      <c r="E17" s="87">
        <f>+'análisis inversionista'!E29</f>
        <v>103786266.85007328</v>
      </c>
      <c r="F17" s="87">
        <f>+'análisis inversionista'!F29</f>
        <v>120427986.48690091</v>
      </c>
      <c r="G17" s="87">
        <f>+'análisis inversionista'!G29</f>
        <v>0</v>
      </c>
      <c r="H17" s="87">
        <f>+'análisis inversionista'!H29</f>
        <v>0</v>
      </c>
      <c r="I17" s="171">
        <f>+'análisis inversionista'!I29</f>
        <v>0</v>
      </c>
      <c r="J17" s="171">
        <f>+'análisis inversionista'!J29</f>
        <v>0</v>
      </c>
      <c r="K17" s="171">
        <f>+'análisis inversionista'!K29</f>
        <v>0</v>
      </c>
      <c r="L17" s="171">
        <f>+'análisis inversionista'!L29</f>
        <v>0</v>
      </c>
      <c r="M17" s="171">
        <f>+'análisis inversionista'!M29</f>
        <v>0</v>
      </c>
      <c r="N17" s="171">
        <f>+'análisis inversionista'!N29</f>
        <v>0</v>
      </c>
      <c r="O17" s="171">
        <f>+'análisis inversionista'!O29</f>
        <v>0</v>
      </c>
      <c r="P17" s="171">
        <f>+'análisis inversionista'!P29</f>
        <v>0</v>
      </c>
      <c r="Q17" s="171">
        <f>+'análisis inversionista'!Q29</f>
        <v>0</v>
      </c>
      <c r="R17" s="171">
        <f>+'análisis inversionista'!R29</f>
        <v>0</v>
      </c>
    </row>
    <row r="18" spans="2:18" ht="16.5" thickTop="1" thickBot="1" x14ac:dyDescent="0.3">
      <c r="B18" s="83" t="s">
        <v>83</v>
      </c>
      <c r="C18" s="87">
        <f>+'inversión inicial'!C19</f>
        <v>400000000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</row>
    <row r="19" spans="2:18" ht="16.5" thickTop="1" thickBot="1" x14ac:dyDescent="0.3">
      <c r="B19" s="83" t="s">
        <v>163</v>
      </c>
      <c r="C19" s="87">
        <f>+'inversión inicial'!C20</f>
        <v>68000000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</row>
    <row r="20" spans="2:18" ht="16.5" thickTop="1" thickBot="1" x14ac:dyDescent="0.3">
      <c r="B20" s="83" t="s">
        <v>34</v>
      </c>
      <c r="C20" s="85"/>
      <c r="D20" s="87">
        <f>+'análisis inversionista'!D10</f>
        <v>50295635.802739725</v>
      </c>
      <c r="E20" s="87">
        <f>+'análisis inversionista'!E10</f>
        <v>35956704.656788245</v>
      </c>
      <c r="F20" s="87">
        <f>+'análisis inversionista'!F10</f>
        <v>19314985.019960608</v>
      </c>
      <c r="G20" s="87">
        <f>+'análisis inversionista'!G10</f>
        <v>0</v>
      </c>
      <c r="H20" s="87">
        <f>+'análisis inversionista'!H10</f>
        <v>0</v>
      </c>
      <c r="I20" s="171">
        <f>+'análisis inversionista'!I10</f>
        <v>0</v>
      </c>
      <c r="J20" s="171">
        <f>+'análisis inversionista'!J10</f>
        <v>0</v>
      </c>
      <c r="K20" s="171">
        <f>+'análisis inversionista'!K10</f>
        <v>0</v>
      </c>
      <c r="L20" s="171">
        <f>+'análisis inversionista'!L10</f>
        <v>0</v>
      </c>
      <c r="M20" s="171">
        <f>+'análisis inversionista'!M10</f>
        <v>0</v>
      </c>
      <c r="N20" s="171">
        <f>+'análisis inversionista'!N10</f>
        <v>0</v>
      </c>
      <c r="O20" s="171">
        <f>+'análisis inversionista'!O10</f>
        <v>0</v>
      </c>
      <c r="P20" s="171">
        <f>+'análisis inversionista'!P10</f>
        <v>0</v>
      </c>
      <c r="Q20" s="171">
        <f>+'análisis inversionista'!Q10</f>
        <v>0</v>
      </c>
      <c r="R20" s="171">
        <f>+'análisis inversionista'!R10</f>
        <v>0</v>
      </c>
    </row>
    <row r="21" spans="2:18" ht="16.5" thickTop="1" thickBot="1" x14ac:dyDescent="0.3">
      <c r="B21" s="83" t="s">
        <v>15</v>
      </c>
      <c r="C21" s="87">
        <v>0</v>
      </c>
      <c r="D21" s="87">
        <v>0</v>
      </c>
      <c r="E21" s="87">
        <f>IF(E$4&lt;=Inicio!$D$13,+'p y g proyectado'!C28,0)</f>
        <v>144137090.13570777</v>
      </c>
      <c r="F21" s="87">
        <f>IF(F$4&lt;=Inicio!$D$13,+'p y g proyectado'!D28,0)</f>
        <v>609945434.16679072</v>
      </c>
      <c r="G21" s="87">
        <f>IF(G$4&lt;=Inicio!$D$13,+'p y g proyectado'!E28,0)</f>
        <v>0</v>
      </c>
      <c r="H21" s="87">
        <f>IF(H$4&lt;=Inicio!$D$13,+'p y g proyectado'!F28,0)</f>
        <v>0</v>
      </c>
      <c r="I21" s="171">
        <f>IF(I$4&lt;=Inicio!$D$13,+'p y g proyectado'!G28,0)</f>
        <v>0</v>
      </c>
      <c r="J21" s="171">
        <f>IF(J$4&lt;=Inicio!$D$13,+'p y g proyectado'!H28,0)</f>
        <v>0</v>
      </c>
      <c r="K21" s="171">
        <f>IF(K$4&lt;=Inicio!$D$13,+'p y g proyectado'!I28,0)</f>
        <v>0</v>
      </c>
      <c r="L21" s="171">
        <f>IF(L$4&lt;=Inicio!$D$13,+'p y g proyectado'!J28,0)</f>
        <v>0</v>
      </c>
      <c r="M21" s="171">
        <f>IF(M$4&lt;=Inicio!$D$13,+'p y g proyectado'!K28,0)</f>
        <v>0</v>
      </c>
      <c r="N21" s="171">
        <f>IF(N$4&lt;=Inicio!$D$13,+'p y g proyectado'!L28,0)</f>
        <v>0</v>
      </c>
      <c r="O21" s="171">
        <f>IF(O$4&lt;=Inicio!$D$13,+'p y g proyectado'!M28,0)</f>
        <v>0</v>
      </c>
      <c r="P21" s="171">
        <f>IF(P$4&lt;=Inicio!$D$13,+'p y g proyectado'!N28,0)</f>
        <v>0</v>
      </c>
      <c r="Q21" s="171">
        <f>IF(Q$4&lt;=Inicio!$D$13,+'p y g proyectado'!O28,0)</f>
        <v>0</v>
      </c>
      <c r="R21" s="171">
        <f>IF(R$4&lt;=Inicio!$D$13,+'p y g proyectado'!P28,0)</f>
        <v>0</v>
      </c>
    </row>
    <row r="22" spans="2:18" ht="16.5" thickTop="1" thickBot="1" x14ac:dyDescent="0.3">
      <c r="B22" s="80" t="s">
        <v>13</v>
      </c>
      <c r="C22" s="155">
        <f>SUM(C14:C21)</f>
        <v>468000000</v>
      </c>
      <c r="D22" s="155">
        <f>SUM(D14:D21)</f>
        <v>1385760411.5068614</v>
      </c>
      <c r="E22" s="155">
        <f t="shared" ref="E22:R22" si="1">SUM(E14:E21)</f>
        <v>1711761199.8425696</v>
      </c>
      <c r="F22" s="155">
        <f t="shared" si="1"/>
        <v>2252946533.2696524</v>
      </c>
      <c r="G22" s="155" t="e">
        <f t="shared" si="1"/>
        <v>#VALUE!</v>
      </c>
      <c r="H22" s="155" t="e">
        <f t="shared" si="1"/>
        <v>#VALUE!</v>
      </c>
      <c r="I22" s="155">
        <f t="shared" si="1"/>
        <v>0</v>
      </c>
      <c r="J22" s="155">
        <f t="shared" si="1"/>
        <v>0</v>
      </c>
      <c r="K22" s="155">
        <f t="shared" si="1"/>
        <v>0</v>
      </c>
      <c r="L22" s="155">
        <f t="shared" si="1"/>
        <v>0</v>
      </c>
      <c r="M22" s="155">
        <f t="shared" si="1"/>
        <v>0</v>
      </c>
      <c r="N22" s="155">
        <f t="shared" si="1"/>
        <v>0</v>
      </c>
      <c r="O22" s="155">
        <f t="shared" si="1"/>
        <v>0</v>
      </c>
      <c r="P22" s="155">
        <f t="shared" si="1"/>
        <v>0</v>
      </c>
      <c r="Q22" s="155">
        <f t="shared" si="1"/>
        <v>0</v>
      </c>
      <c r="R22" s="155">
        <f t="shared" si="1"/>
        <v>0</v>
      </c>
    </row>
    <row r="23" spans="2:18" ht="20.25" thickTop="1" thickBot="1" x14ac:dyDescent="0.35">
      <c r="B23" s="315" t="s">
        <v>284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7"/>
    </row>
    <row r="24" spans="2:18" s="176" customFormat="1" ht="17.25" thickTop="1" thickBot="1" x14ac:dyDescent="0.3">
      <c r="B24" s="173" t="s">
        <v>285</v>
      </c>
      <c r="C24" s="174">
        <f t="shared" ref="C24:R24" si="2">+C12-C22</f>
        <v>316153972.60273957</v>
      </c>
      <c r="D24" s="174">
        <f t="shared" si="2"/>
        <v>180453561.09587812</v>
      </c>
      <c r="E24" s="174">
        <f t="shared" si="2"/>
        <v>1303376386.2533085</v>
      </c>
      <c r="F24" s="174">
        <f t="shared" si="2"/>
        <v>3743829052.9836559</v>
      </c>
      <c r="G24" s="174" t="e">
        <f t="shared" si="2"/>
        <v>#VALUE!</v>
      </c>
      <c r="H24" s="174" t="e">
        <f t="shared" si="2"/>
        <v>#VALUE!</v>
      </c>
      <c r="I24" s="174">
        <f t="shared" si="2"/>
        <v>0</v>
      </c>
      <c r="J24" s="174">
        <f t="shared" si="2"/>
        <v>0</v>
      </c>
      <c r="K24" s="174">
        <f t="shared" si="2"/>
        <v>0</v>
      </c>
      <c r="L24" s="174">
        <f t="shared" si="2"/>
        <v>0</v>
      </c>
      <c r="M24" s="174">
        <f t="shared" si="2"/>
        <v>0</v>
      </c>
      <c r="N24" s="174">
        <f t="shared" si="2"/>
        <v>0</v>
      </c>
      <c r="O24" s="174">
        <f t="shared" si="2"/>
        <v>0</v>
      </c>
      <c r="P24" s="174">
        <f t="shared" si="2"/>
        <v>0</v>
      </c>
      <c r="Q24" s="174">
        <f t="shared" si="2"/>
        <v>0</v>
      </c>
      <c r="R24" s="175">
        <f t="shared" si="2"/>
        <v>0</v>
      </c>
    </row>
    <row r="25" spans="2:18" ht="13.5" thickTop="1" x14ac:dyDescent="0.2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  <row r="26" spans="2:18" hidden="1" x14ac:dyDescent="0.2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</row>
    <row r="27" spans="2:18" hidden="1" x14ac:dyDescent="0.2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</sheetData>
  <sheetProtection password="99B7" sheet="1" objects="1" scenarios="1"/>
  <customSheetViews>
    <customSheetView guid="{4BF10618-D357-11D5-9338-EFF21189730A}" showGridLines="0" outlineSymbols="0" showRuler="0">
      <selection activeCell="P7" sqref="P7"/>
      <pageMargins left="0.31" right="0.51181102362204722" top="0.98425196850393704" bottom="0.98425196850393704" header="0" footer="0"/>
      <printOptions horizontalCentered="1"/>
      <pageSetup scale="55" orientation="landscape" horizontalDpi="300" verticalDpi="300" r:id="rId1"/>
      <headerFooter alignWithMargins="0"/>
    </customSheetView>
  </customSheetViews>
  <mergeCells count="6">
    <mergeCell ref="B13:R13"/>
    <mergeCell ref="B23:R23"/>
    <mergeCell ref="B1:R1"/>
    <mergeCell ref="B2:R2"/>
    <mergeCell ref="B3:R3"/>
    <mergeCell ref="B5:R5"/>
  </mergeCells>
  <printOptions horizontalCentered="1"/>
  <pageMargins left="0.31" right="0.51181102362204722" top="0.98425196850393704" bottom="0.98425196850393704" header="0" footer="0"/>
  <pageSetup scale="45" orientation="landscape" horizontalDpi="300" verticalDpi="300" r:id="rId2"/>
  <headerFooter alignWithMargins="0"/>
  <ignoredErrors>
    <ignoredError sqref="B1:R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R42"/>
  <sheetViews>
    <sheetView showGridLines="0" showRowColHeaders="0" showOutlineSymbols="0" workbookViewId="0">
      <selection activeCell="B1" sqref="B1:Q32"/>
    </sheetView>
  </sheetViews>
  <sheetFormatPr baseColWidth="10" defaultColWidth="0" defaultRowHeight="12.75" zeroHeight="1" x14ac:dyDescent="0.2"/>
  <cols>
    <col min="1" max="1" width="5.5703125" style="82" customWidth="1"/>
    <col min="2" max="2" width="32.7109375" style="82" bestFit="1" customWidth="1"/>
    <col min="3" max="5" width="19.28515625" style="82" bestFit="1" customWidth="1"/>
    <col min="6" max="6" width="16" style="82" hidden="1" customWidth="1"/>
    <col min="7" max="7" width="17.42578125" style="82" hidden="1" customWidth="1"/>
    <col min="8" max="11" width="2.5703125" style="82" hidden="1" customWidth="1"/>
    <col min="12" max="17" width="3.28515625" style="82" hidden="1" customWidth="1"/>
    <col min="18" max="18" width="1.85546875" style="82" bestFit="1" customWidth="1"/>
    <col min="19" max="16384" width="5.5703125" style="82" hidden="1"/>
  </cols>
  <sheetData>
    <row r="1" spans="2:18" ht="18" x14ac:dyDescent="0.25">
      <c r="B1" s="295" t="str">
        <f>flujo!B1</f>
        <v>PROYECTO E-VISTETIC S.A.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2:18" ht="15.75" x14ac:dyDescent="0.25">
      <c r="B2" s="318" t="s">
        <v>292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</row>
    <row r="3" spans="2:18" ht="13.5" thickBot="1" x14ac:dyDescent="0.25">
      <c r="B3" s="319" t="str">
        <f>IF(Inicio!$F$13="Años","En Años","En Meses")</f>
        <v>En Años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</row>
    <row r="4" spans="2:18" ht="16.5" thickTop="1" thickBot="1" x14ac:dyDescent="0.3">
      <c r="B4" s="177" t="s">
        <v>1</v>
      </c>
      <c r="C4" s="177">
        <v>1</v>
      </c>
      <c r="D4" s="177">
        <v>2</v>
      </c>
      <c r="E4" s="177">
        <v>3</v>
      </c>
      <c r="F4" s="177">
        <v>4</v>
      </c>
      <c r="G4" s="177">
        <v>5</v>
      </c>
      <c r="H4" s="177">
        <v>6</v>
      </c>
      <c r="I4" s="177">
        <v>7</v>
      </c>
      <c r="J4" s="177">
        <v>8</v>
      </c>
      <c r="K4" s="177">
        <v>9</v>
      </c>
      <c r="L4" s="177">
        <v>10</v>
      </c>
      <c r="M4" s="177">
        <v>11</v>
      </c>
      <c r="N4" s="177">
        <v>12</v>
      </c>
      <c r="O4" s="177">
        <v>13</v>
      </c>
      <c r="P4" s="177">
        <v>14</v>
      </c>
      <c r="Q4" s="177">
        <v>15</v>
      </c>
    </row>
    <row r="5" spans="2:18" ht="16.5" thickTop="1" thickBot="1" x14ac:dyDescent="0.3">
      <c r="B5" s="178" t="s">
        <v>304</v>
      </c>
      <c r="C5" s="179" t="s">
        <v>0</v>
      </c>
      <c r="D5" s="179" t="s">
        <v>0</v>
      </c>
      <c r="E5" s="179" t="s">
        <v>0</v>
      </c>
      <c r="F5" s="179" t="s">
        <v>0</v>
      </c>
      <c r="G5" s="179" t="s">
        <v>0</v>
      </c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2:18" ht="15.75" thickTop="1" thickBot="1" x14ac:dyDescent="0.25">
      <c r="B6" s="180" t="s">
        <v>305</v>
      </c>
      <c r="C6" s="181">
        <f>+'presupuesto compras y ventas'!C41</f>
        <v>1785800000</v>
      </c>
      <c r="D6" s="181">
        <f>+'presupuesto compras y ventas'!D41</f>
        <v>3284205750</v>
      </c>
      <c r="E6" s="181">
        <f>+'presupuesto compras y ventas'!E41</f>
        <v>3708137475</v>
      </c>
      <c r="F6" s="181">
        <f>+'presupuesto compras y ventas'!F41</f>
        <v>0</v>
      </c>
      <c r="G6" s="181">
        <f>+'presupuesto compras y ventas'!G41</f>
        <v>0</v>
      </c>
      <c r="H6" s="181">
        <f>+'presupuesto compras y ventas'!H41</f>
        <v>0</v>
      </c>
      <c r="I6" s="181">
        <f>+'presupuesto compras y ventas'!I41</f>
        <v>0</v>
      </c>
      <c r="J6" s="181">
        <f>+'presupuesto compras y ventas'!J41</f>
        <v>0</v>
      </c>
      <c r="K6" s="181">
        <f>+'presupuesto compras y ventas'!K41</f>
        <v>0</v>
      </c>
      <c r="L6" s="181">
        <f>+'presupuesto compras y ventas'!L41</f>
        <v>0</v>
      </c>
      <c r="M6" s="181">
        <f>+'presupuesto compras y ventas'!M41</f>
        <v>0</v>
      </c>
      <c r="N6" s="181">
        <f>+'presupuesto compras y ventas'!N41</f>
        <v>0</v>
      </c>
      <c r="O6" s="181">
        <f>+'presupuesto compras y ventas'!O41</f>
        <v>0</v>
      </c>
      <c r="P6" s="181">
        <f>+'presupuesto compras y ventas'!P41</f>
        <v>0</v>
      </c>
      <c r="Q6" s="181">
        <f>+'presupuesto compras y ventas'!Q41</f>
        <v>0</v>
      </c>
      <c r="R6" s="182" t="s">
        <v>0</v>
      </c>
    </row>
    <row r="7" spans="2:18" ht="17.25" thickTop="1" thickBot="1" x14ac:dyDescent="0.3">
      <c r="B7" s="183" t="s">
        <v>45</v>
      </c>
      <c r="C7" s="184">
        <f>SUM(C6:C6)</f>
        <v>1785800000</v>
      </c>
      <c r="D7" s="184">
        <f t="shared" ref="D7:Q7" si="0">SUM(D6:D6)</f>
        <v>3284205750</v>
      </c>
      <c r="E7" s="184">
        <f t="shared" si="0"/>
        <v>3708137475</v>
      </c>
      <c r="F7" s="184">
        <f t="shared" si="0"/>
        <v>0</v>
      </c>
      <c r="G7" s="184">
        <f t="shared" si="0"/>
        <v>0</v>
      </c>
      <c r="H7" s="185">
        <f t="shared" si="0"/>
        <v>0</v>
      </c>
      <c r="I7" s="185">
        <f t="shared" si="0"/>
        <v>0</v>
      </c>
      <c r="J7" s="185">
        <f t="shared" si="0"/>
        <v>0</v>
      </c>
      <c r="K7" s="185">
        <f t="shared" si="0"/>
        <v>0</v>
      </c>
      <c r="L7" s="185">
        <f t="shared" si="0"/>
        <v>0</v>
      </c>
      <c r="M7" s="185">
        <f t="shared" si="0"/>
        <v>0</v>
      </c>
      <c r="N7" s="185">
        <f t="shared" si="0"/>
        <v>0</v>
      </c>
      <c r="O7" s="185">
        <f t="shared" si="0"/>
        <v>0</v>
      </c>
      <c r="P7" s="185">
        <f t="shared" si="0"/>
        <v>0</v>
      </c>
      <c r="Q7" s="185">
        <f t="shared" si="0"/>
        <v>0</v>
      </c>
      <c r="R7" s="186" t="s">
        <v>0</v>
      </c>
    </row>
    <row r="8" spans="2:18" ht="16.5" hidden="1" thickTop="1" thickBot="1" x14ac:dyDescent="0.3">
      <c r="B8" s="178"/>
      <c r="C8" s="179"/>
      <c r="D8" s="179"/>
      <c r="E8" s="179"/>
      <c r="F8" s="179"/>
      <c r="G8" s="179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2:18" ht="16.5" thickTop="1" thickBot="1" x14ac:dyDescent="0.3">
      <c r="B9" s="177" t="s">
        <v>125</v>
      </c>
      <c r="C9" s="179">
        <f>+'presupuesto compras y ventas'!C9</f>
        <v>719400800</v>
      </c>
      <c r="D9" s="179">
        <f>+'presupuesto compras y ventas'!D9</f>
        <v>885465999</v>
      </c>
      <c r="E9" s="179">
        <f>+'presupuesto compras y ventas'!E9</f>
        <v>944570534.22000003</v>
      </c>
      <c r="F9" s="179">
        <f>+'presupuesto compras y ventas'!F9</f>
        <v>0</v>
      </c>
      <c r="G9" s="179">
        <f>+'presupuesto compras y ventas'!G9</f>
        <v>0</v>
      </c>
      <c r="H9" s="179">
        <f>+'presupuesto compras y ventas'!H9</f>
        <v>0</v>
      </c>
      <c r="I9" s="179">
        <f>+'presupuesto compras y ventas'!I9</f>
        <v>0</v>
      </c>
      <c r="J9" s="179">
        <f>+'presupuesto compras y ventas'!J9</f>
        <v>0</v>
      </c>
      <c r="K9" s="179">
        <f>+'presupuesto compras y ventas'!K9</f>
        <v>0</v>
      </c>
      <c r="L9" s="179">
        <f>+'presupuesto compras y ventas'!L9</f>
        <v>0</v>
      </c>
      <c r="M9" s="179">
        <f>+'presupuesto compras y ventas'!M9</f>
        <v>0</v>
      </c>
      <c r="N9" s="179">
        <f>+'presupuesto compras y ventas'!N9</f>
        <v>0</v>
      </c>
      <c r="O9" s="179">
        <f>+'presupuesto compras y ventas'!O9</f>
        <v>0</v>
      </c>
      <c r="P9" s="179">
        <f>+'presupuesto compras y ventas'!P9</f>
        <v>0</v>
      </c>
      <c r="Q9" s="179">
        <f>+'presupuesto compras y ventas'!Q9</f>
        <v>0</v>
      </c>
    </row>
    <row r="10" spans="2:18" ht="17.25" thickTop="1" thickBot="1" x14ac:dyDescent="0.3">
      <c r="B10" s="187" t="s">
        <v>2</v>
      </c>
      <c r="C10" s="184">
        <f t="shared" ref="C10:Q10" si="1">+C7-C9</f>
        <v>1066399200</v>
      </c>
      <c r="D10" s="184">
        <f t="shared" si="1"/>
        <v>2398739751</v>
      </c>
      <c r="E10" s="184">
        <f t="shared" si="1"/>
        <v>2763566940.7799997</v>
      </c>
      <c r="F10" s="184">
        <f t="shared" si="1"/>
        <v>0</v>
      </c>
      <c r="G10" s="184">
        <f t="shared" si="1"/>
        <v>0</v>
      </c>
      <c r="H10" s="185">
        <f t="shared" si="1"/>
        <v>0</v>
      </c>
      <c r="I10" s="185">
        <f t="shared" si="1"/>
        <v>0</v>
      </c>
      <c r="J10" s="185">
        <f t="shared" si="1"/>
        <v>0</v>
      </c>
      <c r="K10" s="185">
        <f t="shared" si="1"/>
        <v>0</v>
      </c>
      <c r="L10" s="185">
        <f t="shared" si="1"/>
        <v>0</v>
      </c>
      <c r="M10" s="185">
        <f t="shared" si="1"/>
        <v>0</v>
      </c>
      <c r="N10" s="185">
        <f t="shared" si="1"/>
        <v>0</v>
      </c>
      <c r="O10" s="185">
        <f t="shared" si="1"/>
        <v>0</v>
      </c>
      <c r="P10" s="185">
        <f t="shared" si="1"/>
        <v>0</v>
      </c>
      <c r="Q10" s="185">
        <f t="shared" si="1"/>
        <v>0</v>
      </c>
      <c r="R10" s="176"/>
    </row>
    <row r="11" spans="2:18" ht="15.75" thickTop="1" thickBot="1" x14ac:dyDescent="0.25">
      <c r="B11" s="188" t="s">
        <v>126</v>
      </c>
      <c r="C11" s="181"/>
      <c r="D11" s="181"/>
      <c r="E11" s="181"/>
      <c r="F11" s="181"/>
      <c r="G11" s="181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2:18" ht="15.75" thickTop="1" thickBot="1" x14ac:dyDescent="0.25">
      <c r="B12" s="180" t="s">
        <v>122</v>
      </c>
      <c r="C12" s="181">
        <f>+'gastos personal'!D64</f>
        <v>144000000</v>
      </c>
      <c r="D12" s="181">
        <f>+'gastos personal'!E64</f>
        <v>148320000</v>
      </c>
      <c r="E12" s="181">
        <f>+'gastos personal'!F64</f>
        <v>152769600</v>
      </c>
      <c r="F12" s="181">
        <f>+'gastos personal'!G64</f>
        <v>0</v>
      </c>
      <c r="G12" s="181">
        <f>+'gastos personal'!H64</f>
        <v>0</v>
      </c>
      <c r="H12" s="181">
        <f>+'gastos personal'!I64</f>
        <v>0</v>
      </c>
      <c r="I12" s="181">
        <f>+'gastos personal'!J64</f>
        <v>0</v>
      </c>
      <c r="J12" s="181">
        <f>+'gastos personal'!K64</f>
        <v>0</v>
      </c>
      <c r="K12" s="181">
        <f>+'gastos personal'!L64</f>
        <v>0</v>
      </c>
      <c r="L12" s="181">
        <f>+'gastos personal'!M64</f>
        <v>0</v>
      </c>
      <c r="M12" s="181">
        <f>+'gastos personal'!N64</f>
        <v>0</v>
      </c>
      <c r="N12" s="181">
        <f>+'gastos personal'!O64</f>
        <v>0</v>
      </c>
      <c r="O12" s="181">
        <f>+'gastos personal'!P64</f>
        <v>0</v>
      </c>
      <c r="P12" s="181">
        <f>+'gastos personal'!Q64</f>
        <v>0</v>
      </c>
      <c r="Q12" s="181">
        <f>+'gastos personal'!R64</f>
        <v>0</v>
      </c>
    </row>
    <row r="13" spans="2:18" ht="15.75" thickTop="1" thickBot="1" x14ac:dyDescent="0.25">
      <c r="B13" s="180" t="s">
        <v>105</v>
      </c>
      <c r="C13" s="181">
        <f>+'gastos personal'!D65+'gastos personal'!D66</f>
        <v>72328320</v>
      </c>
      <c r="D13" s="181">
        <f>+'gastos personal'!E65+'gastos personal'!E66</f>
        <v>74498169.599999994</v>
      </c>
      <c r="E13" s="181">
        <f>+'gastos personal'!F65+'gastos personal'!F66</f>
        <v>76733114.687999994</v>
      </c>
      <c r="F13" s="181">
        <f>+'gastos personal'!G65+'gastos personal'!G66</f>
        <v>0</v>
      </c>
      <c r="G13" s="181">
        <f>+'gastos personal'!H65+'gastos personal'!H66</f>
        <v>0</v>
      </c>
      <c r="H13" s="181">
        <f>+'gastos personal'!I65+'gastos personal'!I66</f>
        <v>0</v>
      </c>
      <c r="I13" s="181">
        <f>+'gastos personal'!J65+'gastos personal'!J66</f>
        <v>0</v>
      </c>
      <c r="J13" s="181">
        <f>+'gastos personal'!K65+'gastos personal'!K66</f>
        <v>0</v>
      </c>
      <c r="K13" s="181">
        <f>+'gastos personal'!L65+'gastos personal'!L66</f>
        <v>0</v>
      </c>
      <c r="L13" s="181">
        <f>+'gastos personal'!M65+'gastos personal'!M66</f>
        <v>0</v>
      </c>
      <c r="M13" s="181">
        <f>+'gastos personal'!N65+'gastos personal'!N66</f>
        <v>0</v>
      </c>
      <c r="N13" s="181">
        <f>+'gastos personal'!O65+'gastos personal'!O66</f>
        <v>0</v>
      </c>
      <c r="O13" s="181">
        <f>+'gastos personal'!P65+'gastos personal'!P66</f>
        <v>0</v>
      </c>
      <c r="P13" s="181">
        <f>+'gastos personal'!Q65+'gastos personal'!Q66</f>
        <v>0</v>
      </c>
      <c r="Q13" s="181">
        <f>+'gastos personal'!R65+'gastos personal'!R66</f>
        <v>0</v>
      </c>
    </row>
    <row r="14" spans="2:18" ht="15.75" thickTop="1" thickBot="1" x14ac:dyDescent="0.25">
      <c r="B14" s="180" t="s">
        <v>127</v>
      </c>
      <c r="C14" s="181">
        <f>SUM(C12:C13)</f>
        <v>216328320</v>
      </c>
      <c r="D14" s="181">
        <f t="shared" ref="D14:Q14" si="2">SUM(D12:D13)</f>
        <v>222818169.59999999</v>
      </c>
      <c r="E14" s="181">
        <f t="shared" si="2"/>
        <v>229502714.68799999</v>
      </c>
      <c r="F14" s="181">
        <f t="shared" si="2"/>
        <v>0</v>
      </c>
      <c r="G14" s="181">
        <f t="shared" si="2"/>
        <v>0</v>
      </c>
      <c r="H14" s="181">
        <f t="shared" si="2"/>
        <v>0</v>
      </c>
      <c r="I14" s="181">
        <f t="shared" si="2"/>
        <v>0</v>
      </c>
      <c r="J14" s="181">
        <f t="shared" si="2"/>
        <v>0</v>
      </c>
      <c r="K14" s="181">
        <f t="shared" si="2"/>
        <v>0</v>
      </c>
      <c r="L14" s="181">
        <f t="shared" si="2"/>
        <v>0</v>
      </c>
      <c r="M14" s="181">
        <f t="shared" si="2"/>
        <v>0</v>
      </c>
      <c r="N14" s="181">
        <f t="shared" si="2"/>
        <v>0</v>
      </c>
      <c r="O14" s="181">
        <f t="shared" si="2"/>
        <v>0</v>
      </c>
      <c r="P14" s="181">
        <f t="shared" si="2"/>
        <v>0</v>
      </c>
      <c r="Q14" s="181">
        <f t="shared" si="2"/>
        <v>0</v>
      </c>
    </row>
    <row r="15" spans="2:18" ht="15.75" thickTop="1" thickBot="1" x14ac:dyDescent="0.25">
      <c r="B15" s="180" t="s">
        <v>123</v>
      </c>
      <c r="C15" s="181">
        <f>+'gastos generales'!C24</f>
        <v>93960000</v>
      </c>
      <c r="D15" s="181">
        <f>+'gastos generales'!D24</f>
        <v>96778800</v>
      </c>
      <c r="E15" s="181">
        <f>+'gastos generales'!E24</f>
        <v>99682164</v>
      </c>
      <c r="F15" s="181">
        <f>+'gastos generales'!F24</f>
        <v>0</v>
      </c>
      <c r="G15" s="181">
        <f>+'gastos generales'!G24</f>
        <v>0</v>
      </c>
      <c r="H15" s="181">
        <f>+'gastos generales'!H24</f>
        <v>0</v>
      </c>
      <c r="I15" s="181">
        <f>+'gastos generales'!I24</f>
        <v>0</v>
      </c>
      <c r="J15" s="181">
        <f>+'gastos generales'!J24</f>
        <v>0</v>
      </c>
      <c r="K15" s="181">
        <f>+'gastos generales'!K24</f>
        <v>0</v>
      </c>
      <c r="L15" s="181">
        <f>+'gastos generales'!L24</f>
        <v>0</v>
      </c>
      <c r="M15" s="181">
        <f>+'gastos generales'!M24</f>
        <v>0</v>
      </c>
      <c r="N15" s="181">
        <f>+'gastos generales'!N24</f>
        <v>0</v>
      </c>
      <c r="O15" s="181">
        <f>+'gastos generales'!O24</f>
        <v>0</v>
      </c>
      <c r="P15" s="181">
        <f>+'gastos generales'!P24</f>
        <v>0</v>
      </c>
      <c r="Q15" s="181">
        <f>+'gastos generales'!Q24</f>
        <v>0</v>
      </c>
    </row>
    <row r="16" spans="2:18" ht="15.75" thickTop="1" thickBot="1" x14ac:dyDescent="0.25">
      <c r="B16" s="180" t="s">
        <v>154</v>
      </c>
      <c r="C16" s="181">
        <f>+'gastos depreciación'!E22</f>
        <v>55000000</v>
      </c>
      <c r="D16" s="181">
        <f>+'gastos depreciación'!F22</f>
        <v>55000000</v>
      </c>
      <c r="E16" s="181">
        <f>+'gastos depreciación'!G22</f>
        <v>55000000</v>
      </c>
      <c r="F16" s="181">
        <f>+'gastos depreciación'!H22</f>
        <v>0</v>
      </c>
      <c r="G16" s="181">
        <f>+'gastos depreciación'!I22</f>
        <v>0</v>
      </c>
      <c r="H16" s="181">
        <f>+'gastos depreciación'!J22</f>
        <v>0</v>
      </c>
      <c r="I16" s="181">
        <f>+'gastos depreciación'!K22</f>
        <v>0</v>
      </c>
      <c r="J16" s="181">
        <f>+'gastos depreciación'!L22</f>
        <v>0</v>
      </c>
      <c r="K16" s="181">
        <f>+'gastos depreciación'!M22</f>
        <v>0</v>
      </c>
      <c r="L16" s="181">
        <f>+'gastos depreciación'!N22</f>
        <v>0</v>
      </c>
      <c r="M16" s="181">
        <f>+'gastos depreciación'!O22</f>
        <v>0</v>
      </c>
      <c r="N16" s="181">
        <f>+'gastos depreciación'!P22</f>
        <v>0</v>
      </c>
      <c r="O16" s="181">
        <f>+'gastos depreciación'!Q22</f>
        <v>0</v>
      </c>
      <c r="P16" s="181">
        <f>+'gastos depreciación'!R22</f>
        <v>0</v>
      </c>
      <c r="Q16" s="181">
        <f>+'gastos depreciación'!S22</f>
        <v>0</v>
      </c>
    </row>
    <row r="17" spans="2:18" ht="15.75" thickTop="1" thickBot="1" x14ac:dyDescent="0.25">
      <c r="B17" s="180" t="s">
        <v>155</v>
      </c>
      <c r="C17" s="181">
        <f>+'gastos depreciación'!E34</f>
        <v>22666666.666666668</v>
      </c>
      <c r="D17" s="181">
        <f>+'gastos depreciación'!F34</f>
        <v>22666666.666666668</v>
      </c>
      <c r="E17" s="181">
        <f>+'gastos depreciación'!G34</f>
        <v>22666666.666666668</v>
      </c>
      <c r="F17" s="181">
        <f>+'gastos depreciación'!H34</f>
        <v>0</v>
      </c>
      <c r="G17" s="181">
        <f>+'gastos depreciación'!I34</f>
        <v>0</v>
      </c>
      <c r="H17" s="181">
        <f>+'gastos depreciación'!J34</f>
        <v>0</v>
      </c>
      <c r="I17" s="181">
        <f>+'gastos depreciación'!K34</f>
        <v>0</v>
      </c>
      <c r="J17" s="181">
        <f>+'gastos depreciación'!L34</f>
        <v>0</v>
      </c>
      <c r="K17" s="181">
        <f>+'gastos depreciación'!M34</f>
        <v>0</v>
      </c>
      <c r="L17" s="181">
        <f>+'gastos depreciación'!N34</f>
        <v>0</v>
      </c>
      <c r="M17" s="181">
        <f>+'gastos depreciación'!O34</f>
        <v>0</v>
      </c>
      <c r="N17" s="181">
        <f>+'gastos depreciación'!P34</f>
        <v>0</v>
      </c>
      <c r="O17" s="181">
        <f>+'gastos depreciación'!Q34</f>
        <v>0</v>
      </c>
      <c r="P17" s="181">
        <f>+'gastos depreciación'!R34</f>
        <v>0</v>
      </c>
      <c r="Q17" s="181">
        <f>+'gastos depreciación'!S34</f>
        <v>0</v>
      </c>
    </row>
    <row r="18" spans="2:18" ht="15.75" thickTop="1" thickBot="1" x14ac:dyDescent="0.25">
      <c r="B18" s="180" t="s">
        <v>33</v>
      </c>
      <c r="C18" s="181">
        <f>+financiación!D7+financiación!D16+financiación!D25</f>
        <v>50295635.802739725</v>
      </c>
      <c r="D18" s="181">
        <f>+financiación!E7+financiación!E16+financiación!E25</f>
        <v>35956704.656788245</v>
      </c>
      <c r="E18" s="181">
        <f>+financiación!F7+financiación!F16+financiación!F25</f>
        <v>19314985.019960608</v>
      </c>
      <c r="F18" s="181">
        <f>+financiación!G7+financiación!G16+financiación!G25</f>
        <v>0</v>
      </c>
      <c r="G18" s="181">
        <f>+financiación!H7+financiación!H16+financiación!H25</f>
        <v>0</v>
      </c>
      <c r="H18" s="181">
        <f>+financiación!I7+financiación!I16+financiación!I25</f>
        <v>0</v>
      </c>
      <c r="I18" s="181">
        <f>+financiación!J7+financiación!J16+financiación!J25</f>
        <v>0</v>
      </c>
      <c r="J18" s="181">
        <f>+financiación!K7+financiación!K16+financiación!K25</f>
        <v>0</v>
      </c>
      <c r="K18" s="181">
        <f>+financiación!L7+financiación!L16+financiación!L25</f>
        <v>0</v>
      </c>
      <c r="L18" s="181">
        <f>+financiación!M7+financiación!M16+financiación!M25</f>
        <v>0</v>
      </c>
      <c r="M18" s="181">
        <f>+financiación!N7+financiación!N16+financiación!N25</f>
        <v>0</v>
      </c>
      <c r="N18" s="181">
        <f>+financiación!O7+financiación!O16+financiación!O25</f>
        <v>0</v>
      </c>
      <c r="O18" s="181">
        <f>+financiación!P7+financiación!P16+financiación!P25</f>
        <v>0</v>
      </c>
      <c r="P18" s="181">
        <f>+financiación!Q7+financiación!Q16+financiación!Q25</f>
        <v>0</v>
      </c>
      <c r="Q18" s="181">
        <f>+financiación!R7+financiación!R16+financiación!R25</f>
        <v>0</v>
      </c>
    </row>
    <row r="19" spans="2:18" ht="15.75" thickTop="1" thickBot="1" x14ac:dyDescent="0.25">
      <c r="B19" s="180" t="s">
        <v>50</v>
      </c>
      <c r="C19" s="181">
        <f>SUM(C14:C18)</f>
        <v>438250622.46940643</v>
      </c>
      <c r="D19" s="181">
        <f t="shared" ref="D19:Q19" si="3">SUM(D14:D18)</f>
        <v>433220340.92345494</v>
      </c>
      <c r="E19" s="181">
        <f t="shared" si="3"/>
        <v>426166530.37462723</v>
      </c>
      <c r="F19" s="181">
        <f t="shared" si="3"/>
        <v>0</v>
      </c>
      <c r="G19" s="181">
        <f t="shared" si="3"/>
        <v>0</v>
      </c>
      <c r="H19" s="181">
        <f t="shared" si="3"/>
        <v>0</v>
      </c>
      <c r="I19" s="181">
        <f t="shared" si="3"/>
        <v>0</v>
      </c>
      <c r="J19" s="181">
        <f t="shared" si="3"/>
        <v>0</v>
      </c>
      <c r="K19" s="181">
        <f t="shared" si="3"/>
        <v>0</v>
      </c>
      <c r="L19" s="181">
        <f t="shared" si="3"/>
        <v>0</v>
      </c>
      <c r="M19" s="181">
        <f t="shared" si="3"/>
        <v>0</v>
      </c>
      <c r="N19" s="181">
        <f t="shared" si="3"/>
        <v>0</v>
      </c>
      <c r="O19" s="181">
        <f t="shared" si="3"/>
        <v>0</v>
      </c>
      <c r="P19" s="181">
        <f t="shared" si="3"/>
        <v>0</v>
      </c>
      <c r="Q19" s="181">
        <f t="shared" si="3"/>
        <v>0</v>
      </c>
    </row>
    <row r="20" spans="2:18" ht="16.5" thickTop="1" thickBot="1" x14ac:dyDescent="0.3">
      <c r="B20" s="177" t="s">
        <v>128</v>
      </c>
      <c r="C20" s="179"/>
      <c r="D20" s="179"/>
      <c r="E20" s="179"/>
      <c r="F20" s="179"/>
      <c r="G20" s="179"/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2:18" ht="15.75" thickTop="1" thickBot="1" x14ac:dyDescent="0.25">
      <c r="B21" s="180" t="s">
        <v>122</v>
      </c>
      <c r="C21" s="181">
        <f>+'gastos personal'!D70</f>
        <v>144000000</v>
      </c>
      <c r="D21" s="181">
        <f>+'gastos personal'!E70</f>
        <v>148320000</v>
      </c>
      <c r="E21" s="181">
        <f>+'gastos personal'!F70</f>
        <v>152769600</v>
      </c>
      <c r="F21" s="181">
        <f>+'gastos personal'!G70</f>
        <v>0</v>
      </c>
      <c r="G21" s="181">
        <f>+'gastos personal'!H70</f>
        <v>0</v>
      </c>
      <c r="H21" s="181">
        <f>+'gastos personal'!I70</f>
        <v>0</v>
      </c>
      <c r="I21" s="181">
        <f>+'gastos personal'!J70</f>
        <v>0</v>
      </c>
      <c r="J21" s="181">
        <f>+'gastos personal'!K70</f>
        <v>0</v>
      </c>
      <c r="K21" s="181">
        <f>+'gastos personal'!L70</f>
        <v>0</v>
      </c>
      <c r="L21" s="181">
        <f>+'gastos personal'!M70</f>
        <v>0</v>
      </c>
      <c r="M21" s="181">
        <f>+'gastos personal'!N70</f>
        <v>0</v>
      </c>
      <c r="N21" s="181">
        <f>+'gastos personal'!O70</f>
        <v>0</v>
      </c>
      <c r="O21" s="181">
        <f>+'gastos personal'!P70</f>
        <v>0</v>
      </c>
      <c r="P21" s="181">
        <f>+'gastos personal'!Q70</f>
        <v>0</v>
      </c>
      <c r="Q21" s="181">
        <f>+'gastos personal'!R70</f>
        <v>0</v>
      </c>
    </row>
    <row r="22" spans="2:18" ht="15.75" thickTop="1" thickBot="1" x14ac:dyDescent="0.25">
      <c r="B22" s="180" t="s">
        <v>105</v>
      </c>
      <c r="C22" s="181">
        <f>+'gastos personal'!D71+'gastos personal'!D72</f>
        <v>72328320</v>
      </c>
      <c r="D22" s="181">
        <f>+'gastos personal'!E71+'gastos personal'!E72</f>
        <v>74498169.599999994</v>
      </c>
      <c r="E22" s="181">
        <f>+'gastos personal'!F71+'gastos personal'!F72</f>
        <v>76733114.687999994</v>
      </c>
      <c r="F22" s="181">
        <f>+'gastos personal'!G71+'gastos personal'!G72</f>
        <v>0</v>
      </c>
      <c r="G22" s="181">
        <f>+'gastos personal'!H71+'gastos personal'!H72</f>
        <v>0</v>
      </c>
      <c r="H22" s="181">
        <f>+'gastos personal'!I71+'gastos personal'!I72</f>
        <v>0</v>
      </c>
      <c r="I22" s="181">
        <f>+'gastos personal'!J71+'gastos personal'!J72</f>
        <v>0</v>
      </c>
      <c r="J22" s="181">
        <f>+'gastos personal'!K71+'gastos personal'!K72</f>
        <v>0</v>
      </c>
      <c r="K22" s="181">
        <f>+'gastos personal'!L71+'gastos personal'!L72</f>
        <v>0</v>
      </c>
      <c r="L22" s="181">
        <f>+'gastos personal'!M71+'gastos personal'!M72</f>
        <v>0</v>
      </c>
      <c r="M22" s="181">
        <f>+'gastos personal'!N71+'gastos personal'!N72</f>
        <v>0</v>
      </c>
      <c r="N22" s="181">
        <f>+'gastos personal'!O71+'gastos personal'!O72</f>
        <v>0</v>
      </c>
      <c r="O22" s="181">
        <f>+'gastos personal'!P71+'gastos personal'!P72</f>
        <v>0</v>
      </c>
      <c r="P22" s="181">
        <f>+'gastos personal'!Q71+'gastos personal'!Q72</f>
        <v>0</v>
      </c>
      <c r="Q22" s="181">
        <f>+'gastos personal'!R71+'gastos personal'!R72</f>
        <v>0</v>
      </c>
    </row>
    <row r="23" spans="2:18" ht="15.75" thickTop="1" thickBot="1" x14ac:dyDescent="0.25">
      <c r="B23" s="180" t="s">
        <v>127</v>
      </c>
      <c r="C23" s="181">
        <f>SUM(C21:C22)</f>
        <v>216328320</v>
      </c>
      <c r="D23" s="181">
        <f>SUM(D21:D22)</f>
        <v>222818169.59999999</v>
      </c>
      <c r="E23" s="181">
        <f t="shared" ref="E23:Q23" si="4">SUM(E21:E22)</f>
        <v>229502714.68799999</v>
      </c>
      <c r="F23" s="181">
        <f t="shared" si="4"/>
        <v>0</v>
      </c>
      <c r="G23" s="181">
        <f t="shared" si="4"/>
        <v>0</v>
      </c>
      <c r="H23" s="181">
        <f t="shared" si="4"/>
        <v>0</v>
      </c>
      <c r="I23" s="181">
        <f t="shared" si="4"/>
        <v>0</v>
      </c>
      <c r="J23" s="181">
        <f t="shared" si="4"/>
        <v>0</v>
      </c>
      <c r="K23" s="181">
        <f t="shared" si="4"/>
        <v>0</v>
      </c>
      <c r="L23" s="181">
        <f t="shared" si="4"/>
        <v>0</v>
      </c>
      <c r="M23" s="181">
        <f t="shared" si="4"/>
        <v>0</v>
      </c>
      <c r="N23" s="181">
        <f t="shared" si="4"/>
        <v>0</v>
      </c>
      <c r="O23" s="181">
        <f t="shared" si="4"/>
        <v>0</v>
      </c>
      <c r="P23" s="181">
        <f t="shared" si="4"/>
        <v>0</v>
      </c>
      <c r="Q23" s="181">
        <f t="shared" si="4"/>
        <v>0</v>
      </c>
    </row>
    <row r="24" spans="2:18" ht="15.75" thickTop="1" thickBot="1" x14ac:dyDescent="0.25">
      <c r="B24" s="180" t="s">
        <v>128</v>
      </c>
      <c r="C24" s="181">
        <f>+'gastos generales'!C46</f>
        <v>0</v>
      </c>
      <c r="D24" s="181">
        <f>+'gastos generales'!D46</f>
        <v>0</v>
      </c>
      <c r="E24" s="181">
        <f>+'gastos generales'!E46</f>
        <v>0</v>
      </c>
      <c r="F24" s="181" t="e">
        <f>+'gastos generales'!F46</f>
        <v>#VALUE!</v>
      </c>
      <c r="G24" s="181" t="e">
        <f>+'gastos generales'!G46</f>
        <v>#VALUE!</v>
      </c>
      <c r="H24" s="181">
        <f>+'gastos generales'!H46</f>
        <v>0</v>
      </c>
      <c r="I24" s="181">
        <f>+'gastos generales'!I46</f>
        <v>0</v>
      </c>
      <c r="J24" s="181">
        <f>+'gastos generales'!J46</f>
        <v>0</v>
      </c>
      <c r="K24" s="181">
        <f>+'gastos generales'!K46</f>
        <v>0</v>
      </c>
      <c r="L24" s="181">
        <f>+'gastos generales'!L46</f>
        <v>0</v>
      </c>
      <c r="M24" s="181">
        <f>+'gastos generales'!M46</f>
        <v>0</v>
      </c>
      <c r="N24" s="181">
        <f>+'gastos generales'!N46</f>
        <v>0</v>
      </c>
      <c r="O24" s="181">
        <f>+'gastos generales'!O46</f>
        <v>0</v>
      </c>
      <c r="P24" s="181">
        <f>+'gastos generales'!P46</f>
        <v>0</v>
      </c>
      <c r="Q24" s="181">
        <f>+'gastos generales'!Q46</f>
        <v>0</v>
      </c>
    </row>
    <row r="25" spans="2:18" ht="15.75" thickTop="1" thickBot="1" x14ac:dyDescent="0.25">
      <c r="B25" s="180" t="s">
        <v>129</v>
      </c>
      <c r="C25" s="181">
        <f>SUM(C23:C24)</f>
        <v>216328320</v>
      </c>
      <c r="D25" s="181">
        <f t="shared" ref="D25:Q25" si="5">SUM(D23:D24)</f>
        <v>222818169.59999999</v>
      </c>
      <c r="E25" s="181">
        <f t="shared" si="5"/>
        <v>229502714.68799999</v>
      </c>
      <c r="F25" s="181" t="e">
        <f t="shared" si="5"/>
        <v>#VALUE!</v>
      </c>
      <c r="G25" s="181" t="e">
        <f t="shared" si="5"/>
        <v>#VALUE!</v>
      </c>
      <c r="H25" s="181">
        <f t="shared" si="5"/>
        <v>0</v>
      </c>
      <c r="I25" s="181">
        <f t="shared" si="5"/>
        <v>0</v>
      </c>
      <c r="J25" s="181">
        <f t="shared" si="5"/>
        <v>0</v>
      </c>
      <c r="K25" s="181">
        <f t="shared" si="5"/>
        <v>0</v>
      </c>
      <c r="L25" s="181">
        <f t="shared" si="5"/>
        <v>0</v>
      </c>
      <c r="M25" s="181">
        <f t="shared" si="5"/>
        <v>0</v>
      </c>
      <c r="N25" s="181">
        <f t="shared" si="5"/>
        <v>0</v>
      </c>
      <c r="O25" s="181">
        <f t="shared" si="5"/>
        <v>0</v>
      </c>
      <c r="P25" s="181">
        <f t="shared" si="5"/>
        <v>0</v>
      </c>
      <c r="Q25" s="181">
        <f t="shared" si="5"/>
        <v>0</v>
      </c>
    </row>
    <row r="26" spans="2:18" ht="16.5" thickTop="1" thickBot="1" x14ac:dyDescent="0.3">
      <c r="B26" s="177" t="s">
        <v>130</v>
      </c>
      <c r="C26" s="179">
        <f t="shared" ref="C26:Q26" si="6">+C25+C19</f>
        <v>654578942.46940637</v>
      </c>
      <c r="D26" s="179">
        <f t="shared" si="6"/>
        <v>656038510.5234549</v>
      </c>
      <c r="E26" s="179">
        <f t="shared" si="6"/>
        <v>655669245.0626272</v>
      </c>
      <c r="F26" s="179" t="e">
        <f t="shared" si="6"/>
        <v>#VALUE!</v>
      </c>
      <c r="G26" s="179" t="e">
        <f t="shared" si="6"/>
        <v>#VALUE!</v>
      </c>
      <c r="H26" s="179">
        <f t="shared" si="6"/>
        <v>0</v>
      </c>
      <c r="I26" s="179">
        <f t="shared" si="6"/>
        <v>0</v>
      </c>
      <c r="J26" s="179">
        <f t="shared" si="6"/>
        <v>0</v>
      </c>
      <c r="K26" s="179">
        <f t="shared" si="6"/>
        <v>0</v>
      </c>
      <c r="L26" s="179">
        <f t="shared" si="6"/>
        <v>0</v>
      </c>
      <c r="M26" s="179">
        <f t="shared" si="6"/>
        <v>0</v>
      </c>
      <c r="N26" s="179">
        <f t="shared" si="6"/>
        <v>0</v>
      </c>
      <c r="O26" s="179">
        <f t="shared" si="6"/>
        <v>0</v>
      </c>
      <c r="P26" s="179">
        <f t="shared" si="6"/>
        <v>0</v>
      </c>
      <c r="Q26" s="179">
        <f t="shared" si="6"/>
        <v>0</v>
      </c>
    </row>
    <row r="27" spans="2:18" ht="17.25" thickTop="1" thickBot="1" x14ac:dyDescent="0.3">
      <c r="B27" s="187" t="s">
        <v>131</v>
      </c>
      <c r="C27" s="184">
        <f t="shared" ref="C27:Q27" si="7">+C10-C26</f>
        <v>411820257.53059363</v>
      </c>
      <c r="D27" s="184">
        <f t="shared" si="7"/>
        <v>1742701240.4765451</v>
      </c>
      <c r="E27" s="184">
        <f t="shared" si="7"/>
        <v>2107897695.7173724</v>
      </c>
      <c r="F27" s="184" t="e">
        <f t="shared" si="7"/>
        <v>#VALUE!</v>
      </c>
      <c r="G27" s="184" t="e">
        <f t="shared" si="7"/>
        <v>#VALUE!</v>
      </c>
      <c r="H27" s="185">
        <f t="shared" si="7"/>
        <v>0</v>
      </c>
      <c r="I27" s="185">
        <f t="shared" si="7"/>
        <v>0</v>
      </c>
      <c r="J27" s="185">
        <f t="shared" si="7"/>
        <v>0</v>
      </c>
      <c r="K27" s="185">
        <f t="shared" si="7"/>
        <v>0</v>
      </c>
      <c r="L27" s="185">
        <f t="shared" si="7"/>
        <v>0</v>
      </c>
      <c r="M27" s="185">
        <f t="shared" si="7"/>
        <v>0</v>
      </c>
      <c r="N27" s="185">
        <f t="shared" si="7"/>
        <v>0</v>
      </c>
      <c r="O27" s="185">
        <f t="shared" si="7"/>
        <v>0</v>
      </c>
      <c r="P27" s="185">
        <f t="shared" si="7"/>
        <v>0</v>
      </c>
      <c r="Q27" s="185">
        <f t="shared" si="7"/>
        <v>0</v>
      </c>
      <c r="R27" s="176"/>
    </row>
    <row r="28" spans="2:18" ht="16.5" thickTop="1" thickBot="1" x14ac:dyDescent="0.3">
      <c r="B28" s="180" t="s">
        <v>27</v>
      </c>
      <c r="C28" s="181">
        <f>IF(C27&gt;=0,+C27*$C$34,0)</f>
        <v>144137090.13570777</v>
      </c>
      <c r="D28" s="181">
        <f t="shared" ref="D28:Q28" si="8">IF(D27&gt;=0,+D27*$C$34,0)</f>
        <v>609945434.16679072</v>
      </c>
      <c r="E28" s="181">
        <f t="shared" si="8"/>
        <v>737764193.50108027</v>
      </c>
      <c r="F28" s="181" t="e">
        <f t="shared" si="8"/>
        <v>#VALUE!</v>
      </c>
      <c r="G28" s="181" t="e">
        <f t="shared" si="8"/>
        <v>#VALUE!</v>
      </c>
      <c r="H28" s="179">
        <f t="shared" si="8"/>
        <v>0</v>
      </c>
      <c r="I28" s="179">
        <f t="shared" si="8"/>
        <v>0</v>
      </c>
      <c r="J28" s="179">
        <f t="shared" si="8"/>
        <v>0</v>
      </c>
      <c r="K28" s="179">
        <f t="shared" si="8"/>
        <v>0</v>
      </c>
      <c r="L28" s="179">
        <f t="shared" si="8"/>
        <v>0</v>
      </c>
      <c r="M28" s="179">
        <f t="shared" si="8"/>
        <v>0</v>
      </c>
      <c r="N28" s="179">
        <f t="shared" si="8"/>
        <v>0</v>
      </c>
      <c r="O28" s="179">
        <f t="shared" si="8"/>
        <v>0</v>
      </c>
      <c r="P28" s="179">
        <f t="shared" si="8"/>
        <v>0</v>
      </c>
      <c r="Q28" s="179">
        <f t="shared" si="8"/>
        <v>0</v>
      </c>
    </row>
    <row r="29" spans="2:18" ht="16.5" thickTop="1" thickBot="1" x14ac:dyDescent="0.3">
      <c r="B29" s="177" t="s">
        <v>161</v>
      </c>
      <c r="C29" s="179">
        <f t="shared" ref="C29:Q29" si="9">+C27-C28</f>
        <v>267683167.39488587</v>
      </c>
      <c r="D29" s="179">
        <f t="shared" si="9"/>
        <v>1132755806.3097544</v>
      </c>
      <c r="E29" s="179">
        <f t="shared" si="9"/>
        <v>1370133502.2162921</v>
      </c>
      <c r="F29" s="179" t="e">
        <f t="shared" si="9"/>
        <v>#VALUE!</v>
      </c>
      <c r="G29" s="179" t="e">
        <f t="shared" si="9"/>
        <v>#VALUE!</v>
      </c>
      <c r="H29" s="179">
        <f t="shared" si="9"/>
        <v>0</v>
      </c>
      <c r="I29" s="179">
        <f t="shared" si="9"/>
        <v>0</v>
      </c>
      <c r="J29" s="179">
        <f t="shared" si="9"/>
        <v>0</v>
      </c>
      <c r="K29" s="179">
        <f t="shared" si="9"/>
        <v>0</v>
      </c>
      <c r="L29" s="179">
        <f t="shared" si="9"/>
        <v>0</v>
      </c>
      <c r="M29" s="179">
        <f t="shared" si="9"/>
        <v>0</v>
      </c>
      <c r="N29" s="179">
        <f t="shared" si="9"/>
        <v>0</v>
      </c>
      <c r="O29" s="179">
        <f t="shared" si="9"/>
        <v>0</v>
      </c>
      <c r="P29" s="179">
        <f t="shared" si="9"/>
        <v>0</v>
      </c>
      <c r="Q29" s="179">
        <f t="shared" si="9"/>
        <v>0</v>
      </c>
    </row>
    <row r="30" spans="2:18" ht="16.5" thickTop="1" thickBot="1" x14ac:dyDescent="0.3">
      <c r="B30" s="180" t="s">
        <v>132</v>
      </c>
      <c r="C30" s="181">
        <f>IF(C29&gt;=0,+C29*$C$35,0)</f>
        <v>26768316.739488587</v>
      </c>
      <c r="D30" s="181">
        <f>IF(D29&gt;=0,+D29*$C$35,0)</f>
        <v>113275580.63097544</v>
      </c>
      <c r="E30" s="181">
        <f t="shared" ref="E30:Q30" si="10">IF(E29&gt;=0,+E29*$C$35,0)</f>
        <v>137013350.22162923</v>
      </c>
      <c r="F30" s="181" t="e">
        <f t="shared" si="10"/>
        <v>#VALUE!</v>
      </c>
      <c r="G30" s="181" t="e">
        <f t="shared" si="10"/>
        <v>#VALUE!</v>
      </c>
      <c r="H30" s="179">
        <f t="shared" si="10"/>
        <v>0</v>
      </c>
      <c r="I30" s="179">
        <f t="shared" si="10"/>
        <v>0</v>
      </c>
      <c r="J30" s="179">
        <f t="shared" si="10"/>
        <v>0</v>
      </c>
      <c r="K30" s="179">
        <f t="shared" si="10"/>
        <v>0</v>
      </c>
      <c r="L30" s="179">
        <f t="shared" si="10"/>
        <v>0</v>
      </c>
      <c r="M30" s="179">
        <f t="shared" si="10"/>
        <v>0</v>
      </c>
      <c r="N30" s="179">
        <f t="shared" si="10"/>
        <v>0</v>
      </c>
      <c r="O30" s="179">
        <f t="shared" si="10"/>
        <v>0</v>
      </c>
      <c r="P30" s="179">
        <f t="shared" si="10"/>
        <v>0</v>
      </c>
      <c r="Q30" s="179">
        <f t="shared" si="10"/>
        <v>0</v>
      </c>
    </row>
    <row r="31" spans="2:18" ht="16.5" thickTop="1" thickBot="1" x14ac:dyDescent="0.3">
      <c r="B31" s="180" t="s">
        <v>133</v>
      </c>
      <c r="C31" s="181">
        <f>IF(C29&gt;=0,+C29*$C$36,0)</f>
        <v>0</v>
      </c>
      <c r="D31" s="181">
        <f>IF(D29&gt;=0,+D29*$C$36,0)</f>
        <v>0</v>
      </c>
      <c r="E31" s="181">
        <f t="shared" ref="E31:Q31" si="11">IF(E29&gt;=0,+E29*$C$36,0)</f>
        <v>0</v>
      </c>
      <c r="F31" s="181" t="e">
        <f t="shared" si="11"/>
        <v>#VALUE!</v>
      </c>
      <c r="G31" s="181" t="e">
        <f t="shared" si="11"/>
        <v>#VALUE!</v>
      </c>
      <c r="H31" s="179">
        <f t="shared" si="11"/>
        <v>0</v>
      </c>
      <c r="I31" s="179">
        <f t="shared" si="11"/>
        <v>0</v>
      </c>
      <c r="J31" s="179">
        <f t="shared" si="11"/>
        <v>0</v>
      </c>
      <c r="K31" s="179">
        <f t="shared" si="11"/>
        <v>0</v>
      </c>
      <c r="L31" s="179">
        <f t="shared" si="11"/>
        <v>0</v>
      </c>
      <c r="M31" s="179">
        <f t="shared" si="11"/>
        <v>0</v>
      </c>
      <c r="N31" s="179">
        <f t="shared" si="11"/>
        <v>0</v>
      </c>
      <c r="O31" s="179">
        <f t="shared" si="11"/>
        <v>0</v>
      </c>
      <c r="P31" s="179">
        <f t="shared" si="11"/>
        <v>0</v>
      </c>
      <c r="Q31" s="179">
        <f t="shared" si="11"/>
        <v>0</v>
      </c>
    </row>
    <row r="32" spans="2:18" ht="17.25" thickTop="1" thickBot="1" x14ac:dyDescent="0.3">
      <c r="B32" s="187" t="s">
        <v>16</v>
      </c>
      <c r="C32" s="184">
        <f>+C29-C30-C31</f>
        <v>240914850.6553973</v>
      </c>
      <c r="D32" s="184">
        <f t="shared" ref="D32:Q32" si="12">+D29-D30-D31</f>
        <v>1019480225.6787789</v>
      </c>
      <c r="E32" s="184">
        <f t="shared" si="12"/>
        <v>1233120151.994663</v>
      </c>
      <c r="F32" s="184" t="e">
        <f t="shared" si="12"/>
        <v>#VALUE!</v>
      </c>
      <c r="G32" s="184" t="e">
        <f t="shared" si="12"/>
        <v>#VALUE!</v>
      </c>
      <c r="H32" s="185">
        <f t="shared" si="12"/>
        <v>0</v>
      </c>
      <c r="I32" s="185">
        <f t="shared" si="12"/>
        <v>0</v>
      </c>
      <c r="J32" s="185">
        <f t="shared" si="12"/>
        <v>0</v>
      </c>
      <c r="K32" s="185">
        <f t="shared" si="12"/>
        <v>0</v>
      </c>
      <c r="L32" s="185">
        <f t="shared" si="12"/>
        <v>0</v>
      </c>
      <c r="M32" s="185">
        <f t="shared" si="12"/>
        <v>0</v>
      </c>
      <c r="N32" s="185">
        <f t="shared" si="12"/>
        <v>0</v>
      </c>
      <c r="O32" s="185">
        <f t="shared" si="12"/>
        <v>0</v>
      </c>
      <c r="P32" s="185">
        <f t="shared" si="12"/>
        <v>0</v>
      </c>
      <c r="Q32" s="185">
        <f t="shared" si="12"/>
        <v>0</v>
      </c>
      <c r="R32" s="176"/>
    </row>
    <row r="33" spans="2:5" ht="14.25" thickTop="1" thickBot="1" x14ac:dyDescent="0.25">
      <c r="C33" s="182" t="s">
        <v>0</v>
      </c>
    </row>
    <row r="34" spans="2:5" ht="17.25" thickTop="1" thickBot="1" x14ac:dyDescent="0.3">
      <c r="B34" s="187" t="s">
        <v>80</v>
      </c>
      <c r="C34" s="170">
        <f>Inicio!D9</f>
        <v>0.35</v>
      </c>
    </row>
    <row r="35" spans="2:5" ht="17.25" thickTop="1" thickBot="1" x14ac:dyDescent="0.3">
      <c r="B35" s="187" t="s">
        <v>81</v>
      </c>
      <c r="C35" s="170">
        <f>Inicio!D10</f>
        <v>0.1</v>
      </c>
    </row>
    <row r="36" spans="2:5" ht="17.25" thickTop="1" thickBot="1" x14ac:dyDescent="0.3">
      <c r="B36" s="187" t="s">
        <v>82</v>
      </c>
      <c r="C36" s="170">
        <f>Inicio!D11</f>
        <v>0</v>
      </c>
    </row>
    <row r="37" spans="2:5" ht="13.5" thickTop="1" x14ac:dyDescent="0.2"/>
    <row r="38" spans="2:5" x14ac:dyDescent="0.2">
      <c r="C38" s="276"/>
      <c r="D38" s="276"/>
      <c r="E38" s="276"/>
    </row>
    <row r="39" spans="2:5" x14ac:dyDescent="0.2"/>
    <row r="40" spans="2:5" x14ac:dyDescent="0.2"/>
    <row r="41" spans="2:5" x14ac:dyDescent="0.2"/>
    <row r="42" spans="2:5" x14ac:dyDescent="0.2"/>
  </sheetData>
  <sheetProtection selectLockedCells="1" selectUnlockedCells="1"/>
  <customSheetViews>
    <customSheetView guid="{4BF10618-D357-11D5-9338-EFF21189730A}" scale="80" showGridLines="0" outlineSymbols="0" showRuler="0">
      <selection activeCell="I28" sqref="I28"/>
      <pageMargins left="0.39370078740157483" right="0.51181102362204722" top="0.98425196850393704" bottom="0.98425196850393704" header="0" footer="0"/>
      <printOptions horizontalCentered="1"/>
      <pageSetup scale="55" orientation="landscape" horizontalDpi="300" verticalDpi="300" r:id="rId1"/>
      <headerFooter alignWithMargins="0"/>
    </customSheetView>
  </customSheetViews>
  <mergeCells count="3">
    <mergeCell ref="B1:Q1"/>
    <mergeCell ref="B2:Q2"/>
    <mergeCell ref="B3:Q3"/>
  </mergeCells>
  <printOptions horizontalCentered="1"/>
  <pageMargins left="0.39370078740157483" right="0.51181102362204722" top="0.98425196850393704" bottom="0.98425196850393704" header="0" footer="0"/>
  <pageSetup scale="55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Inicio</vt:lpstr>
      <vt:lpstr>presupuesto compras y ventas</vt:lpstr>
      <vt:lpstr>gastos personal</vt:lpstr>
      <vt:lpstr>gastos depreciación</vt:lpstr>
      <vt:lpstr>gastos generales</vt:lpstr>
      <vt:lpstr>inversión inicial</vt:lpstr>
      <vt:lpstr>financiación</vt:lpstr>
      <vt:lpstr>flujo</vt:lpstr>
      <vt:lpstr>p y g proyectado</vt:lpstr>
      <vt:lpstr>balance</vt:lpstr>
      <vt:lpstr>análisis inversionista</vt:lpstr>
      <vt:lpstr>análisis proyecto</vt:lpstr>
      <vt:lpstr>sensibilidad inversionista</vt:lpstr>
      <vt:lpstr>sensibilidad proyecto</vt:lpstr>
      <vt:lpstr>'análisis inversionista'!Área_de_impresión</vt:lpstr>
      <vt:lpstr>'análisis proyecto'!Área_de_impresión</vt:lpstr>
      <vt:lpstr>'gastos personal'!Área_de_impresión</vt:lpstr>
      <vt:lpstr>'presupuesto compras y ventas'!Área_de_impresión</vt:lpstr>
      <vt:lpstr>'sensibilidad inversionista'!Área_de_impresión</vt:lpstr>
      <vt:lpstr>'sensibilidad proyecto'!Área_de_impresión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 ROJAS</dc:creator>
  <cp:lastModifiedBy>Generico Pat Biblioteca</cp:lastModifiedBy>
  <cp:lastPrinted>2008-06-04T22:34:43Z</cp:lastPrinted>
  <dcterms:created xsi:type="dcterms:W3CDTF">2000-02-23T14:04:51Z</dcterms:created>
  <dcterms:modified xsi:type="dcterms:W3CDTF">2017-12-11T14:37:56Z</dcterms:modified>
</cp:coreProperties>
</file>