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SIS ENTREGA FINAL\"/>
    </mc:Choice>
  </mc:AlternateContent>
  <bookViews>
    <workbookView xWindow="0" yWindow="0" windowWidth="15345" windowHeight="4650"/>
  </bookViews>
  <sheets>
    <sheet name="Tabla de servicios" sheetId="4" r:id="rId1"/>
    <sheet name="costos" sheetId="1" r:id="rId2"/>
    <sheet name="Ventas" sheetId="5" r:id="rId3"/>
    <sheet name="Aporte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4" l="1"/>
  <c r="E29" i="4"/>
  <c r="E19" i="4"/>
  <c r="E9" i="4"/>
  <c r="B8" i="3" l="1"/>
  <c r="O23" i="5"/>
  <c r="O16" i="5"/>
  <c r="O13" i="5"/>
  <c r="O14" i="5"/>
  <c r="O15" i="5"/>
  <c r="E36" i="4"/>
  <c r="E37" i="4" s="1"/>
  <c r="E38" i="4" s="1"/>
  <c r="S23" i="5" l="1"/>
  <c r="AA23" i="5"/>
  <c r="V9" i="5"/>
  <c r="U16" i="5"/>
  <c r="AC16" i="5"/>
  <c r="W9" i="5"/>
  <c r="E41" i="4"/>
  <c r="AC23" i="5"/>
  <c r="Z16" i="5"/>
  <c r="T9" i="5"/>
  <c r="AB9" i="5"/>
  <c r="V23" i="5"/>
  <c r="Z23" i="5"/>
  <c r="S16" i="5"/>
  <c r="W16" i="5"/>
  <c r="AA16" i="5"/>
  <c r="R23" i="5"/>
  <c r="U9" i="5"/>
  <c r="Y9" i="5"/>
  <c r="AC9" i="5"/>
  <c r="W23" i="5"/>
  <c r="T16" i="5"/>
  <c r="X16" i="5"/>
  <c r="AB16" i="5"/>
  <c r="R16" i="5"/>
  <c r="Z9" i="5"/>
  <c r="T23" i="5"/>
  <c r="X23" i="5"/>
  <c r="AB23" i="5"/>
  <c r="Y16" i="5"/>
  <c r="S9" i="5"/>
  <c r="AA9" i="5"/>
  <c r="U23" i="5"/>
  <c r="Y23" i="5"/>
  <c r="V16" i="5"/>
  <c r="R9" i="5"/>
  <c r="X9" i="5"/>
  <c r="C8" i="3"/>
  <c r="AD23" i="5" l="1"/>
  <c r="AD16" i="5"/>
  <c r="E40" i="4"/>
  <c r="E42" i="4" s="1"/>
  <c r="B7" i="3" l="1"/>
  <c r="B6" i="3"/>
  <c r="B5" i="3"/>
  <c r="J6" i="1"/>
  <c r="J7" i="1"/>
  <c r="J8" i="1"/>
  <c r="J9" i="1"/>
  <c r="J5" i="1"/>
  <c r="K5" i="1"/>
  <c r="L10" i="1"/>
  <c r="O22" i="5"/>
  <c r="O21" i="5"/>
  <c r="O20" i="5"/>
  <c r="O7" i="5"/>
  <c r="O8" i="5"/>
  <c r="O9" i="5"/>
  <c r="D8" i="3" s="1"/>
  <c r="E8" i="3" s="1"/>
  <c r="O6" i="5"/>
  <c r="E26" i="4"/>
  <c r="E27" i="4" s="1"/>
  <c r="E28" i="4" s="1"/>
  <c r="E16" i="4"/>
  <c r="E17" i="4" s="1"/>
  <c r="E6" i="4"/>
  <c r="E7" i="4" s="1"/>
  <c r="E8" i="4" s="1"/>
  <c r="R13" i="5" l="1"/>
  <c r="Z13" i="5"/>
  <c r="W13" i="5"/>
  <c r="T13" i="5"/>
  <c r="AB13" i="5"/>
  <c r="Y13" i="5"/>
  <c r="S13" i="5"/>
  <c r="AA13" i="5"/>
  <c r="V13" i="5"/>
  <c r="X13" i="5"/>
  <c r="U13" i="5"/>
  <c r="AC13" i="5"/>
  <c r="Z15" i="5"/>
  <c r="AC15" i="5"/>
  <c r="V15" i="5"/>
  <c r="U15" i="5"/>
  <c r="X15" i="5"/>
  <c r="AA15" i="5"/>
  <c r="AB15" i="5"/>
  <c r="Y15" i="5"/>
  <c r="R15" i="5"/>
  <c r="W15" i="5"/>
  <c r="S15" i="5"/>
  <c r="T15" i="5"/>
  <c r="F7" i="3"/>
  <c r="F6" i="3"/>
  <c r="F8" i="3"/>
  <c r="G8" i="3" s="1"/>
  <c r="D7" i="3"/>
  <c r="D6" i="3"/>
  <c r="F5" i="3"/>
  <c r="AC8" i="5"/>
  <c r="AB22" i="5"/>
  <c r="U8" i="5"/>
  <c r="T22" i="5"/>
  <c r="X22" i="5"/>
  <c r="Y8" i="5"/>
  <c r="D5" i="3"/>
  <c r="AB8" i="5"/>
  <c r="X8" i="5"/>
  <c r="T8" i="5"/>
  <c r="U22" i="5"/>
  <c r="Y22" i="5"/>
  <c r="AC22" i="5"/>
  <c r="R8" i="5"/>
  <c r="AA8" i="5"/>
  <c r="W8" i="5"/>
  <c r="S8" i="5"/>
  <c r="R22" i="5"/>
  <c r="V22" i="5"/>
  <c r="Z22" i="5"/>
  <c r="Z8" i="5"/>
  <c r="V8" i="5"/>
  <c r="S22" i="5"/>
  <c r="W22" i="5"/>
  <c r="AA22" i="5"/>
  <c r="C7" i="3"/>
  <c r="E18" i="4"/>
  <c r="E30" i="4"/>
  <c r="E31" i="4"/>
  <c r="AD15" i="5" l="1"/>
  <c r="AD13" i="5"/>
  <c r="T14" i="5"/>
  <c r="X14" i="5"/>
  <c r="AB14" i="5"/>
  <c r="U14" i="5"/>
  <c r="U17" i="5" s="1"/>
  <c r="Y14" i="5"/>
  <c r="Y17" i="5" s="1"/>
  <c r="AC14" i="5"/>
  <c r="AC17" i="5" s="1"/>
  <c r="R14" i="5"/>
  <c r="R17" i="5" s="1"/>
  <c r="V14" i="5"/>
  <c r="Z14" i="5"/>
  <c r="S14" i="5"/>
  <c r="W14" i="5"/>
  <c r="AA14" i="5"/>
  <c r="G7" i="3"/>
  <c r="F9" i="3"/>
  <c r="AD8" i="5"/>
  <c r="E7" i="3"/>
  <c r="AD9" i="5"/>
  <c r="AD22" i="5"/>
  <c r="Z21" i="5"/>
  <c r="V21" i="5"/>
  <c r="R21" i="5"/>
  <c r="T7" i="5"/>
  <c r="X7" i="5"/>
  <c r="AB7" i="5"/>
  <c r="R7" i="5"/>
  <c r="AC21" i="5"/>
  <c r="Y21" i="5"/>
  <c r="U21" i="5"/>
  <c r="U7" i="5"/>
  <c r="Y7" i="5"/>
  <c r="AC7" i="5"/>
  <c r="C6" i="3"/>
  <c r="AB21" i="5"/>
  <c r="X21" i="5"/>
  <c r="T21" i="5"/>
  <c r="V7" i="5"/>
  <c r="Z7" i="5"/>
  <c r="AA21" i="5"/>
  <c r="W21" i="5"/>
  <c r="S21" i="5"/>
  <c r="S7" i="5"/>
  <c r="W7" i="5"/>
  <c r="AA7" i="5"/>
  <c r="E11" i="4"/>
  <c r="AC20" i="5"/>
  <c r="Y20" i="5"/>
  <c r="U20" i="5"/>
  <c r="V6" i="5"/>
  <c r="Z6" i="5"/>
  <c r="R6" i="5"/>
  <c r="AB6" i="5"/>
  <c r="Z20" i="5"/>
  <c r="R20" i="5"/>
  <c r="Y6" i="5"/>
  <c r="C5" i="3"/>
  <c r="AB20" i="5"/>
  <c r="X20" i="5"/>
  <c r="T20" i="5"/>
  <c r="S6" i="5"/>
  <c r="W6" i="5"/>
  <c r="AA6" i="5"/>
  <c r="AA20" i="5"/>
  <c r="W20" i="5"/>
  <c r="S20" i="5"/>
  <c r="T6" i="5"/>
  <c r="X6" i="5"/>
  <c r="V20" i="5"/>
  <c r="U6" i="5"/>
  <c r="AC6" i="5"/>
  <c r="E32" i="4"/>
  <c r="Q9" i="1"/>
  <c r="R6" i="1"/>
  <c r="T6" i="1" s="1"/>
  <c r="R7" i="1"/>
  <c r="T7" i="1" s="1"/>
  <c r="R8" i="1"/>
  <c r="T8" i="1" s="1"/>
  <c r="R5" i="1"/>
  <c r="T5" i="1" s="1"/>
  <c r="I10" i="1"/>
  <c r="G10" i="1"/>
  <c r="H6" i="1"/>
  <c r="K6" i="1"/>
  <c r="H7" i="1"/>
  <c r="K7" i="1"/>
  <c r="H8" i="1"/>
  <c r="K8" i="1"/>
  <c r="H9" i="1"/>
  <c r="K9" i="1"/>
  <c r="H5" i="1"/>
  <c r="M5" i="1" s="1"/>
  <c r="D6" i="1"/>
  <c r="D8" i="1"/>
  <c r="D9" i="1"/>
  <c r="D10" i="1"/>
  <c r="D11" i="1"/>
  <c r="D5" i="1"/>
  <c r="U24" i="5" l="1"/>
  <c r="AD14" i="5"/>
  <c r="AC10" i="5"/>
  <c r="AC24" i="5"/>
  <c r="Y24" i="5"/>
  <c r="AB10" i="5"/>
  <c r="V17" i="5"/>
  <c r="AB24" i="5"/>
  <c r="AA24" i="5"/>
  <c r="Z24" i="5"/>
  <c r="X24" i="5"/>
  <c r="V24" i="5"/>
  <c r="X17" i="5"/>
  <c r="W17" i="5"/>
  <c r="AA10" i="5"/>
  <c r="X10" i="5"/>
  <c r="T9" i="1"/>
  <c r="U10" i="5"/>
  <c r="M9" i="1"/>
  <c r="M7" i="1"/>
  <c r="M6" i="1"/>
  <c r="M8" i="1"/>
  <c r="T10" i="5"/>
  <c r="R24" i="5"/>
  <c r="S24" i="5"/>
  <c r="S17" i="5"/>
  <c r="R10" i="5"/>
  <c r="W10" i="5"/>
  <c r="Z10" i="5"/>
  <c r="T17" i="5"/>
  <c r="W24" i="5"/>
  <c r="S10" i="5"/>
  <c r="T24" i="5"/>
  <c r="Y10" i="5"/>
  <c r="V10" i="5"/>
  <c r="AB17" i="5"/>
  <c r="AA17" i="5"/>
  <c r="Z17" i="5"/>
  <c r="E10" i="4"/>
  <c r="E12" i="4" s="1"/>
  <c r="AD7" i="5"/>
  <c r="G6" i="3"/>
  <c r="E6" i="3"/>
  <c r="E21" i="4"/>
  <c r="E20" i="4"/>
  <c r="AD21" i="5"/>
  <c r="AD6" i="5"/>
  <c r="G5" i="3"/>
  <c r="E5" i="3"/>
  <c r="AD20" i="5"/>
  <c r="R9" i="1"/>
  <c r="H10" i="1"/>
  <c r="K10" i="1"/>
  <c r="J10" i="1"/>
  <c r="C12" i="1" l="1"/>
  <c r="D12" i="1" s="1"/>
  <c r="E22" i="4"/>
  <c r="AD24" i="5"/>
  <c r="G9" i="3"/>
  <c r="K6" i="3" s="1"/>
  <c r="M10" i="1"/>
  <c r="C7" i="1" s="1"/>
  <c r="AD17" i="5"/>
  <c r="AD10" i="5"/>
  <c r="E9" i="3"/>
  <c r="J6" i="3" s="1"/>
  <c r="C13" i="1" l="1"/>
  <c r="AD25" i="5"/>
  <c r="D7" i="1"/>
  <c r="D13" i="1" s="1"/>
  <c r="I6" i="3" s="1"/>
  <c r="K7" i="3" s="1"/>
  <c r="J7" i="3" l="1"/>
</calcChain>
</file>

<file path=xl/sharedStrings.xml><?xml version="1.0" encoding="utf-8"?>
<sst xmlns="http://schemas.openxmlformats.org/spreadsheetml/2006/main" count="198" uniqueCount="89">
  <si>
    <t>Concepto</t>
  </si>
  <si>
    <t>Mensual</t>
  </si>
  <si>
    <t>Anual</t>
  </si>
  <si>
    <t>Arriendo</t>
  </si>
  <si>
    <t>Servicios</t>
  </si>
  <si>
    <t>Sueldos</t>
  </si>
  <si>
    <t>Comunicación</t>
  </si>
  <si>
    <t>Útiles de oficina</t>
  </si>
  <si>
    <t>Subsidio de transporte</t>
  </si>
  <si>
    <t>Página web</t>
  </si>
  <si>
    <t>Salarios</t>
  </si>
  <si>
    <t>Cargo</t>
  </si>
  <si>
    <t>Básico</t>
  </si>
  <si>
    <t>EPS</t>
  </si>
  <si>
    <t>ARL</t>
  </si>
  <si>
    <t>AFP</t>
  </si>
  <si>
    <t>CCF</t>
  </si>
  <si>
    <t>Integral</t>
  </si>
  <si>
    <t>TOTAL</t>
  </si>
  <si>
    <t>Inversiones</t>
  </si>
  <si>
    <t>Equipo</t>
  </si>
  <si>
    <t>Unidad</t>
  </si>
  <si>
    <t>Valor Ud</t>
  </si>
  <si>
    <t>Precio Total</t>
  </si>
  <si>
    <t>AfA</t>
  </si>
  <si>
    <t>Valor Anual</t>
  </si>
  <si>
    <t>Computadores</t>
  </si>
  <si>
    <t>Equipos</t>
  </si>
  <si>
    <t>IVA</t>
  </si>
  <si>
    <t>ICA</t>
  </si>
  <si>
    <t>Producto</t>
  </si>
  <si>
    <t>Aportes de servicios</t>
  </si>
  <si>
    <t>1.</t>
  </si>
  <si>
    <t>2.</t>
  </si>
  <si>
    <t>3.</t>
  </si>
  <si>
    <t>4.</t>
  </si>
  <si>
    <t>Aporte</t>
  </si>
  <si>
    <t>UPA</t>
  </si>
  <si>
    <t>Punto de equilibrio</t>
  </si>
  <si>
    <t>Costos</t>
  </si>
  <si>
    <t>Ventas</t>
  </si>
  <si>
    <t>Ganancia</t>
  </si>
  <si>
    <t>Gastos Fijos</t>
  </si>
  <si>
    <t>Costo</t>
  </si>
  <si>
    <t>Ud</t>
  </si>
  <si>
    <t>Total</t>
  </si>
  <si>
    <t>APORTE</t>
  </si>
  <si>
    <t>SUBTotal</t>
  </si>
  <si>
    <t>UPA3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</si>
  <si>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</si>
  <si>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</si>
  <si>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</si>
  <si>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</si>
  <si>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</si>
  <si>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</si>
  <si>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</si>
  <si>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</si>
  <si>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</si>
  <si>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</si>
  <si>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</si>
  <si>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</si>
  <si>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Pr.</t>
  </si>
  <si>
    <t>Unidades</t>
  </si>
  <si>
    <t>Valores</t>
  </si>
  <si>
    <t>3 años</t>
  </si>
  <si>
    <t>Ventas 1 año</t>
  </si>
  <si>
    <t>Ventas 3 años</t>
  </si>
  <si>
    <t>Transporte</t>
  </si>
  <si>
    <t>Unidad de producción</t>
  </si>
  <si>
    <t xml:space="preserve">COSTO SERVICIOS DE LA RESERVA </t>
  </si>
  <si>
    <t xml:space="preserve">15 A 20 MINUTOS </t>
  </si>
  <si>
    <t xml:space="preserve">20 A 25 MINUTOS </t>
  </si>
  <si>
    <t xml:space="preserve">25 A 30 MINUTOS </t>
  </si>
  <si>
    <t xml:space="preserve">Publicista </t>
  </si>
  <si>
    <t xml:space="preserve">Contador </t>
  </si>
  <si>
    <t xml:space="preserve">Programador digital </t>
  </si>
  <si>
    <t xml:space="preserve">Economista/administrador </t>
  </si>
  <si>
    <t xml:space="preserve">Comunicador y Relacionista Publico </t>
  </si>
  <si>
    <t xml:space="preserve">Software y programacion </t>
  </si>
  <si>
    <t xml:space="preserve">mobiliario y equipo de O </t>
  </si>
  <si>
    <t xml:space="preserve">3 tipos de reserva </t>
  </si>
  <si>
    <t xml:space="preserve">Cada valor de cada mes equivale al numero de reservas de cada tipo #1: 15 a 20 min, #2 20 a 25 min #3 25 a 30 min </t>
  </si>
  <si>
    <t>Ganancia esperada</t>
  </si>
  <si>
    <t>Servicios de comunicación: ganancia esperada</t>
  </si>
  <si>
    <t xml:space="preserve">Servicios de comunicación   </t>
  </si>
  <si>
    <t xml:space="preserve">SERVICIO RESERVA #1: 15 A 20 MINUTOS </t>
  </si>
  <si>
    <t xml:space="preserve">SERVICIO RESERVA #2: 20 A 25 MINUTOS </t>
  </si>
  <si>
    <t xml:space="preserve">SERVICIO RESERVA #3: 25 A 30 MIN </t>
  </si>
  <si>
    <t xml:space="preserve">Telefonos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</si>
</sst>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_-&quot;$&quot;* #,##0.00_-;\-&quot;$&quot;* #,##0.00_-;_-&quot;$&quot;* &quot;-&quot;??_-;_-@_-"/>
    <numFmt numFmtId="166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166" fontId="0" fillId="0" borderId="1" xfId="1" applyNumberFormat="1" applyFont="1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/>
    <xf numFmtId="166" fontId="0" fillId="0" borderId="1" xfId="0" applyNumberFormat="1" applyBorder="1"/>
    <xf numFmtId="166" fontId="2" fillId="0" borderId="1" xfId="0" applyNumberFormat="1" applyFont="1" applyBorder="1"/>
    <xf numFmtId="166" fontId="2" fillId="0" borderId="1" xfId="1" applyNumberFormat="1" applyFont="1" applyBorder="1"/>
    <xf numFmtId="0" fontId="0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/>
    <xf numFmtId="166" fontId="0" fillId="0" borderId="0" xfId="1" applyNumberFormat="1" applyFont="1" applyAlignment="1"/>
    <xf numFmtId="166" fontId="0" fillId="0" borderId="1" xfId="1" applyNumberFormat="1" applyFont="1" applyBorder="1" applyAlignment="1"/>
    <xf numFmtId="0" fontId="0" fillId="0" borderId="0" xfId="0" applyFont="1"/>
    <xf numFmtId="0" fontId="2" fillId="0" borderId="0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0" fillId="0" borderId="0" xfId="0" applyBorder="1"/>
    <xf numFmtId="166" fontId="0" fillId="0" borderId="0" xfId="0" applyNumberFormat="1" applyFont="1" applyBorder="1"/>
    <xf numFmtId="0" fontId="3" fillId="0" borderId="1" xfId="0" applyFont="1" applyBorder="1" applyAlignment="1">
      <alignment horizontal="center"/>
    </xf>
    <xf numFmtId="166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6" fontId="3" fillId="0" borderId="0" xfId="0" applyNumberFormat="1" applyFont="1"/>
    <xf numFmtId="1" fontId="2" fillId="0" borderId="1" xfId="0" applyNumberFormat="1" applyFont="1" applyBorder="1"/>
    <xf numFmtId="1" fontId="0" fillId="0" borderId="0" xfId="0" applyNumberFormat="1"/>
    <xf numFmtId="1" fontId="2" fillId="0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164" fontId="2" fillId="0" borderId="1" xfId="0" applyNumberFormat="1" applyFont="1" applyBorder="1"/>
    <xf numFmtId="166" fontId="0" fillId="0" borderId="0" xfId="0" applyNumberFormat="1" applyAlignment="1">
      <alignment horizontal="center"/>
    </xf>
    <xf numFmtId="0" fontId="0" fillId="0" borderId="5" xfId="0" applyBorder="1" applyAlignment="1"/>
    <xf numFmtId="166" fontId="0" fillId="0" borderId="5" xfId="1" applyNumberFormat="1" applyFont="1" applyBorder="1" applyAlignment="1"/>
    <xf numFmtId="166" fontId="4" fillId="0" borderId="1" xfId="1" applyNumberFormat="1" applyFont="1" applyBorder="1"/>
    <xf numFmtId="166" fontId="4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tabSelected="1" zoomScaleNormal="100" workbookViewId="0">
      <selection activeCell="F1" sqref="F1"/>
    </sheetView>
  </sheetViews>
  <sheetFormatPr baseColWidth="10" defaultColWidth="11.42578125" defaultRowHeight="15" x14ac:dyDescent="0.25"/>
  <cols>
    <col min="1" max="1" width="2.85546875" customWidth="1"/>
    <col min="2" max="2" width="32.140625" bestFit="1" customWidth="1"/>
    <col min="3" max="3" width="12.5703125" bestFit="1" customWidth="1"/>
    <col min="4" max="4" width="5.42578125" customWidth="1"/>
    <col min="5" max="5" width="12.5703125" bestFit="1" customWidth="1"/>
    <col min="9" max="9" width="25.42578125" bestFit="1" customWidth="1"/>
  </cols>
  <sheetData>
    <row r="2" spans="1:5" x14ac:dyDescent="0.25">
      <c r="B2" s="2" t="s">
        <v>69</v>
      </c>
      <c r="C2" t="s">
        <v>80</v>
      </c>
    </row>
    <row r="4" spans="1:5" x14ac:dyDescent="0.25">
      <c r="A4" t="s">
        <v>32</v>
      </c>
      <c r="B4" s="41" t="s">
        <v>85</v>
      </c>
      <c r="C4" s="41"/>
      <c r="D4" s="41"/>
      <c r="E4" s="41"/>
    </row>
    <row r="5" spans="1:5" x14ac:dyDescent="0.25">
      <c r="B5" s="15" t="s">
        <v>70</v>
      </c>
      <c r="C5" s="15" t="s">
        <v>43</v>
      </c>
      <c r="D5" s="15" t="s">
        <v>44</v>
      </c>
      <c r="E5" s="15" t="s">
        <v>45</v>
      </c>
    </row>
    <row r="6" spans="1:5" x14ac:dyDescent="0.25">
      <c r="B6" s="6"/>
      <c r="C6" s="19">
        <v>2000</v>
      </c>
      <c r="D6" s="4">
        <v>1</v>
      </c>
      <c r="E6" s="5">
        <f>D6*C6</f>
        <v>2000</v>
      </c>
    </row>
    <row r="7" spans="1:5" x14ac:dyDescent="0.25">
      <c r="B7" s="41" t="s">
        <v>18</v>
      </c>
      <c r="C7" s="41"/>
      <c r="D7" s="41"/>
      <c r="E7" s="5">
        <f>SUM(E5:E6)</f>
        <v>2000</v>
      </c>
    </row>
    <row r="8" spans="1:5" x14ac:dyDescent="0.25">
      <c r="B8" s="41" t="s">
        <v>46</v>
      </c>
      <c r="C8" s="41"/>
      <c r="D8" s="22">
        <v>0.2</v>
      </c>
      <c r="E8" s="5">
        <f>E7*D8</f>
        <v>400</v>
      </c>
    </row>
    <row r="9" spans="1:5" x14ac:dyDescent="0.25">
      <c r="B9" s="21" t="s">
        <v>68</v>
      </c>
      <c r="C9" s="42" t="s">
        <v>47</v>
      </c>
      <c r="D9" s="43"/>
      <c r="E9" s="39">
        <f>E7</f>
        <v>2000</v>
      </c>
    </row>
    <row r="10" spans="1:5" x14ac:dyDescent="0.25">
      <c r="B10" s="36"/>
      <c r="C10" s="44" t="s">
        <v>28</v>
      </c>
      <c r="D10" s="44"/>
      <c r="E10" s="40">
        <f>E9*0.16</f>
        <v>320</v>
      </c>
    </row>
    <row r="11" spans="1:5" x14ac:dyDescent="0.25">
      <c r="C11" s="41" t="s">
        <v>29</v>
      </c>
      <c r="D11" s="41"/>
      <c r="E11" s="40">
        <f>E9*0.1</f>
        <v>200</v>
      </c>
    </row>
    <row r="12" spans="1:5" x14ac:dyDescent="0.25">
      <c r="C12" s="41" t="s">
        <v>18</v>
      </c>
      <c r="D12" s="41"/>
      <c r="E12" s="40">
        <f>SUM(E9:E11)</f>
        <v>2520</v>
      </c>
    </row>
    <row r="13" spans="1:5" x14ac:dyDescent="0.25">
      <c r="E13" s="20"/>
    </row>
    <row r="14" spans="1:5" x14ac:dyDescent="0.25">
      <c r="A14" t="s">
        <v>33</v>
      </c>
      <c r="B14" s="41" t="s">
        <v>86</v>
      </c>
      <c r="C14" s="41"/>
      <c r="D14" s="41"/>
      <c r="E14" s="41"/>
    </row>
    <row r="15" spans="1:5" x14ac:dyDescent="0.25">
      <c r="B15" s="15" t="s">
        <v>71</v>
      </c>
      <c r="C15" s="15" t="s">
        <v>43</v>
      </c>
      <c r="D15" s="15" t="s">
        <v>44</v>
      </c>
      <c r="E15" s="15" t="s">
        <v>45</v>
      </c>
    </row>
    <row r="16" spans="1:5" x14ac:dyDescent="0.25">
      <c r="B16" s="37"/>
      <c r="C16" s="38">
        <v>2500</v>
      </c>
      <c r="D16" s="4">
        <v>1</v>
      </c>
      <c r="E16" s="5">
        <f>D16*C16</f>
        <v>2500</v>
      </c>
    </row>
    <row r="17" spans="1:5" x14ac:dyDescent="0.25">
      <c r="B17" s="44" t="s">
        <v>18</v>
      </c>
      <c r="C17" s="44"/>
      <c r="D17" s="41"/>
      <c r="E17" s="5">
        <f>SUM(E16:E16)</f>
        <v>2500</v>
      </c>
    </row>
    <row r="18" spans="1:5" x14ac:dyDescent="0.25">
      <c r="B18" s="41" t="s">
        <v>46</v>
      </c>
      <c r="C18" s="41"/>
      <c r="D18" s="22">
        <v>0.2</v>
      </c>
      <c r="E18" s="5">
        <f>E17*D18</f>
        <v>500</v>
      </c>
    </row>
    <row r="19" spans="1:5" x14ac:dyDescent="0.25">
      <c r="B19" s="21"/>
      <c r="C19" s="42" t="s">
        <v>47</v>
      </c>
      <c r="D19" s="43"/>
      <c r="E19" s="39">
        <f>E17</f>
        <v>2500</v>
      </c>
    </row>
    <row r="20" spans="1:5" x14ac:dyDescent="0.25">
      <c r="B20" s="36"/>
      <c r="C20" s="44" t="s">
        <v>28</v>
      </c>
      <c r="D20" s="44"/>
      <c r="E20" s="40">
        <f>E19*0.16</f>
        <v>400</v>
      </c>
    </row>
    <row r="21" spans="1:5" x14ac:dyDescent="0.25">
      <c r="C21" s="41" t="s">
        <v>29</v>
      </c>
      <c r="D21" s="41"/>
      <c r="E21" s="40">
        <f>E19*0.1</f>
        <v>250</v>
      </c>
    </row>
    <row r="22" spans="1:5" x14ac:dyDescent="0.25">
      <c r="C22" s="41" t="s">
        <v>18</v>
      </c>
      <c r="D22" s="41"/>
      <c r="E22" s="40">
        <f>SUM(E19:E21)</f>
        <v>3150</v>
      </c>
    </row>
    <row r="23" spans="1:5" x14ac:dyDescent="0.25">
      <c r="B23" s="24"/>
      <c r="C23" s="21"/>
      <c r="D23" s="21"/>
      <c r="E23" s="25"/>
    </row>
    <row r="24" spans="1:5" x14ac:dyDescent="0.25">
      <c r="B24" s="41" t="s">
        <v>87</v>
      </c>
      <c r="C24" s="41"/>
      <c r="D24" s="41"/>
      <c r="E24" s="41"/>
    </row>
    <row r="25" spans="1:5" x14ac:dyDescent="0.25">
      <c r="A25" t="s">
        <v>34</v>
      </c>
      <c r="B25" s="23" t="s">
        <v>72</v>
      </c>
      <c r="C25" s="23" t="s">
        <v>43</v>
      </c>
      <c r="D25" s="23" t="s">
        <v>44</v>
      </c>
      <c r="E25" s="23" t="s">
        <v>45</v>
      </c>
    </row>
    <row r="26" spans="1:5" x14ac:dyDescent="0.25">
      <c r="B26" s="6"/>
      <c r="C26" s="19">
        <v>3000</v>
      </c>
      <c r="D26" s="4">
        <v>1</v>
      </c>
      <c r="E26" s="5">
        <f t="shared" ref="E26" si="0">D26*C26</f>
        <v>3000</v>
      </c>
    </row>
    <row r="27" spans="1:5" x14ac:dyDescent="0.25">
      <c r="B27" s="41" t="s">
        <v>18</v>
      </c>
      <c r="C27" s="41"/>
      <c r="D27" s="41"/>
      <c r="E27" s="5">
        <f>SUM(E24:E26)</f>
        <v>3000</v>
      </c>
    </row>
    <row r="28" spans="1:5" x14ac:dyDescent="0.25">
      <c r="B28" s="41" t="s">
        <v>46</v>
      </c>
      <c r="C28" s="41"/>
      <c r="D28" s="22">
        <v>0.2</v>
      </c>
      <c r="E28" s="5">
        <f>E27*D28</f>
        <v>600</v>
      </c>
    </row>
    <row r="29" spans="1:5" x14ac:dyDescent="0.25">
      <c r="B29" s="21"/>
      <c r="C29" s="42" t="s">
        <v>47</v>
      </c>
      <c r="D29" s="43"/>
      <c r="E29" s="39">
        <f>E27</f>
        <v>3000</v>
      </c>
    </row>
    <row r="30" spans="1:5" x14ac:dyDescent="0.25">
      <c r="B30" s="36"/>
      <c r="C30" s="44" t="s">
        <v>28</v>
      </c>
      <c r="D30" s="44"/>
      <c r="E30" s="40">
        <f>E29*0.16</f>
        <v>480</v>
      </c>
    </row>
    <row r="31" spans="1:5" x14ac:dyDescent="0.25">
      <c r="C31" s="41" t="s">
        <v>29</v>
      </c>
      <c r="D31" s="41"/>
      <c r="E31" s="40">
        <f>E29*0.1</f>
        <v>300</v>
      </c>
    </row>
    <row r="32" spans="1:5" x14ac:dyDescent="0.25">
      <c r="C32" s="41" t="s">
        <v>18</v>
      </c>
      <c r="D32" s="41"/>
      <c r="E32" s="40">
        <f>SUM(E29:E31)</f>
        <v>3780</v>
      </c>
    </row>
    <row r="34" spans="1:6" x14ac:dyDescent="0.25">
      <c r="B34" s="41" t="s">
        <v>83</v>
      </c>
      <c r="C34" s="41"/>
      <c r="D34" s="41"/>
      <c r="E34" s="41"/>
    </row>
    <row r="35" spans="1:6" x14ac:dyDescent="0.25">
      <c r="A35" t="s">
        <v>35</v>
      </c>
      <c r="B35" s="23" t="s">
        <v>84</v>
      </c>
      <c r="C35" s="23" t="s">
        <v>43</v>
      </c>
      <c r="D35" s="23" t="s">
        <v>44</v>
      </c>
      <c r="E35" s="23" t="s">
        <v>45</v>
      </c>
    </row>
    <row r="36" spans="1:6" x14ac:dyDescent="0.25">
      <c r="B36" s="6" t="s">
        <v>82</v>
      </c>
      <c r="C36" s="19">
        <v>20000000</v>
      </c>
      <c r="D36" s="4">
        <v>1</v>
      </c>
      <c r="E36" s="5">
        <f t="shared" ref="E36" si="1">D36*C36</f>
        <v>20000000</v>
      </c>
    </row>
    <row r="37" spans="1:6" x14ac:dyDescent="0.25">
      <c r="B37" s="41" t="s">
        <v>18</v>
      </c>
      <c r="C37" s="41"/>
      <c r="D37" s="41"/>
      <c r="E37" s="5">
        <f>SUM(E34:E36)</f>
        <v>20000000</v>
      </c>
    </row>
    <row r="38" spans="1:6" x14ac:dyDescent="0.25">
      <c r="B38" s="41" t="s">
        <v>46</v>
      </c>
      <c r="C38" s="41"/>
      <c r="D38" s="22">
        <v>0.2</v>
      </c>
      <c r="E38" s="5">
        <f>E37*D38</f>
        <v>4000000</v>
      </c>
    </row>
    <row r="39" spans="1:6" x14ac:dyDescent="0.25">
      <c r="B39" s="21"/>
      <c r="C39" s="42" t="s">
        <v>47</v>
      </c>
      <c r="D39" s="43"/>
      <c r="E39" s="39">
        <f>E37</f>
        <v>20000000</v>
      </c>
    </row>
    <row r="40" spans="1:6" x14ac:dyDescent="0.25">
      <c r="B40" s="36"/>
      <c r="C40" s="44" t="s">
        <v>28</v>
      </c>
      <c r="D40" s="44"/>
      <c r="E40" s="40">
        <f>E39*0.16</f>
        <v>3200000</v>
      </c>
    </row>
    <row r="41" spans="1:6" x14ac:dyDescent="0.25">
      <c r="C41" s="41" t="s">
        <v>29</v>
      </c>
      <c r="D41" s="41"/>
      <c r="E41" s="40">
        <f>E39*0.1</f>
        <v>2000000</v>
      </c>
    </row>
    <row r="42" spans="1:6" x14ac:dyDescent="0.25">
      <c r="C42" s="41" t="s">
        <v>18</v>
      </c>
      <c r="D42" s="41"/>
      <c r="E42" s="40">
        <f>SUM(E39:E41)</f>
        <v>25200000</v>
      </c>
    </row>
    <row r="45" spans="1:6" x14ac:dyDescent="0.25">
      <c r="E45" s="17"/>
      <c r="F45" s="18"/>
    </row>
    <row r="46" spans="1:6" x14ac:dyDescent="0.25">
      <c r="E46" s="17"/>
      <c r="F46" s="18"/>
    </row>
    <row r="47" spans="1:6" x14ac:dyDescent="0.25">
      <c r="E47" s="17"/>
      <c r="F47" s="18"/>
    </row>
    <row r="48" spans="1:6" x14ac:dyDescent="0.25">
      <c r="E48" s="17"/>
      <c r="F48" s="18"/>
    </row>
    <row r="49" spans="5:6" x14ac:dyDescent="0.25">
      <c r="E49" s="17"/>
      <c r="F49" s="18"/>
    </row>
    <row r="50" spans="5:6" x14ac:dyDescent="0.25">
      <c r="E50" s="17"/>
      <c r="F50" s="18"/>
    </row>
    <row r="51" spans="5:6" x14ac:dyDescent="0.25">
      <c r="E51" s="17"/>
      <c r="F51" s="18"/>
    </row>
    <row r="52" spans="5:6" x14ac:dyDescent="0.25">
      <c r="E52" s="17"/>
      <c r="F52" s="18"/>
    </row>
    <row r="53" spans="5:6" x14ac:dyDescent="0.25">
      <c r="E53" s="17"/>
      <c r="F53" s="18"/>
    </row>
    <row r="54" spans="5:6" x14ac:dyDescent="0.25">
      <c r="E54" s="17"/>
      <c r="F54" s="18"/>
    </row>
    <row r="55" spans="5:6" x14ac:dyDescent="0.25">
      <c r="E55" s="17"/>
      <c r="F55" s="18"/>
    </row>
  </sheetData>
  <mergeCells count="28">
    <mergeCell ref="B4:E4"/>
    <mergeCell ref="C10:D10"/>
    <mergeCell ref="C11:D11"/>
    <mergeCell ref="C12:D12"/>
    <mergeCell ref="B14:E14"/>
    <mergeCell ref="C32:D32"/>
    <mergeCell ref="C29:D29"/>
    <mergeCell ref="C30:D30"/>
    <mergeCell ref="B7:D7"/>
    <mergeCell ref="B8:C8"/>
    <mergeCell ref="C9:D9"/>
    <mergeCell ref="B17:D17"/>
    <mergeCell ref="B18:C18"/>
    <mergeCell ref="C21:D21"/>
    <mergeCell ref="C22:D22"/>
    <mergeCell ref="C19:D19"/>
    <mergeCell ref="C20:D20"/>
    <mergeCell ref="B24:E24"/>
    <mergeCell ref="B27:D27"/>
    <mergeCell ref="B28:C28"/>
    <mergeCell ref="C31:D31"/>
    <mergeCell ref="C41:D41"/>
    <mergeCell ref="C42:D42"/>
    <mergeCell ref="B34:E34"/>
    <mergeCell ref="B37:D37"/>
    <mergeCell ref="B38:C38"/>
    <mergeCell ref="C39:D39"/>
    <mergeCell ref="C40:D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zoomScale="86" zoomScaleNormal="86" workbookViewId="0">
      <selection activeCell="D13" sqref="D13"/>
    </sheetView>
  </sheetViews>
  <sheetFormatPr baseColWidth="10" defaultColWidth="11.42578125" defaultRowHeight="15" x14ac:dyDescent="0.25"/>
  <cols>
    <col min="1" max="1" width="4.5703125" customWidth="1"/>
    <col min="2" max="2" width="26" customWidth="1"/>
    <col min="3" max="3" width="14.5703125" customWidth="1"/>
    <col min="4" max="4" width="15.140625" bestFit="1" customWidth="1"/>
    <col min="5" max="5" width="6.5703125" customWidth="1"/>
    <col min="6" max="6" width="35" customWidth="1"/>
    <col min="7" max="9" width="14" bestFit="1" customWidth="1"/>
    <col min="10" max="10" width="11.140625" bestFit="1" customWidth="1"/>
    <col min="11" max="11" width="12.7109375" bestFit="1" customWidth="1"/>
    <col min="12" max="12" width="12.7109375" customWidth="1"/>
    <col min="13" max="13" width="14" bestFit="1" customWidth="1"/>
    <col min="14" max="14" width="5.7109375" customWidth="1"/>
    <col min="15" max="15" width="24.42578125" customWidth="1"/>
    <col min="16" max="16" width="7.42578125" bestFit="1" customWidth="1"/>
    <col min="17" max="18" width="14" bestFit="1" customWidth="1"/>
    <col min="19" max="19" width="4.42578125" bestFit="1" customWidth="1"/>
    <col min="20" max="20" width="12.7109375" bestFit="1" customWidth="1"/>
  </cols>
  <sheetData>
    <row r="2" spans="2:20" s="2" customFormat="1" x14ac:dyDescent="0.25">
      <c r="B2" s="2" t="s">
        <v>42</v>
      </c>
      <c r="F2" s="2" t="s">
        <v>10</v>
      </c>
      <c r="O2" s="2" t="s">
        <v>19</v>
      </c>
      <c r="P2"/>
      <c r="Q2"/>
      <c r="R2"/>
      <c r="S2"/>
      <c r="T2"/>
    </row>
    <row r="4" spans="2:20" s="2" customFormat="1" x14ac:dyDescent="0.25">
      <c r="B4" s="3" t="s">
        <v>0</v>
      </c>
      <c r="C4" s="3" t="s">
        <v>1</v>
      </c>
      <c r="D4" s="3" t="s">
        <v>2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16" t="s">
        <v>67</v>
      </c>
      <c r="M4" s="3" t="s">
        <v>17</v>
      </c>
      <c r="O4" s="3" t="s">
        <v>20</v>
      </c>
      <c r="P4" s="3" t="s">
        <v>21</v>
      </c>
      <c r="Q4" s="3" t="s">
        <v>22</v>
      </c>
      <c r="R4" s="3" t="s">
        <v>23</v>
      </c>
      <c r="S4" s="3" t="s">
        <v>24</v>
      </c>
      <c r="T4" s="3" t="s">
        <v>25</v>
      </c>
    </row>
    <row r="5" spans="2:20" x14ac:dyDescent="0.25">
      <c r="B5" s="6" t="s">
        <v>3</v>
      </c>
      <c r="C5" s="5">
        <v>1000000</v>
      </c>
      <c r="D5" s="5">
        <f>C5*12</f>
        <v>12000000</v>
      </c>
      <c r="F5" s="6" t="s">
        <v>77</v>
      </c>
      <c r="G5" s="5">
        <v>1200000</v>
      </c>
      <c r="H5" s="5">
        <f>G5*0.1</f>
        <v>120000</v>
      </c>
      <c r="I5" s="5">
        <v>3000</v>
      </c>
      <c r="J5" s="5">
        <f>G5*0.15</f>
        <v>180000</v>
      </c>
      <c r="K5" s="5">
        <f>G5*0.05</f>
        <v>60000</v>
      </c>
      <c r="L5" s="5">
        <v>0</v>
      </c>
      <c r="M5" s="5">
        <f>SUM(G5:L5)</f>
        <v>1563000</v>
      </c>
      <c r="O5" s="4" t="s">
        <v>26</v>
      </c>
      <c r="P5" s="7">
        <v>5</v>
      </c>
      <c r="Q5" s="5">
        <v>1500000</v>
      </c>
      <c r="R5" s="5">
        <f>Q5*P5</f>
        <v>7500000</v>
      </c>
      <c r="S5" s="7">
        <v>2</v>
      </c>
      <c r="T5" s="5">
        <f>R5/S5</f>
        <v>3750000</v>
      </c>
    </row>
    <row r="6" spans="2:20" x14ac:dyDescent="0.25">
      <c r="B6" s="6" t="s">
        <v>4</v>
      </c>
      <c r="C6" s="5">
        <v>500000</v>
      </c>
      <c r="D6" s="5">
        <f t="shared" ref="D6:D12" si="0">C6*12</f>
        <v>6000000</v>
      </c>
      <c r="F6" s="9" t="s">
        <v>73</v>
      </c>
      <c r="G6" s="5">
        <v>1200000</v>
      </c>
      <c r="H6" s="5">
        <f t="shared" ref="H6:H9" si="1">G6*0.1</f>
        <v>120000</v>
      </c>
      <c r="I6" s="5">
        <v>3001</v>
      </c>
      <c r="J6" s="5">
        <f t="shared" ref="J6:J9" si="2">G6*0.15</f>
        <v>180000</v>
      </c>
      <c r="K6" s="5">
        <f>G6*0.05</f>
        <v>60000</v>
      </c>
      <c r="L6" s="5">
        <v>0</v>
      </c>
      <c r="M6" s="5">
        <f t="shared" ref="M6:M9" si="3">SUM(G6:L6)</f>
        <v>1563001</v>
      </c>
      <c r="O6" s="13" t="s">
        <v>88</v>
      </c>
      <c r="P6" s="7">
        <v>5</v>
      </c>
      <c r="Q6" s="5">
        <v>100000</v>
      </c>
      <c r="R6" s="5">
        <f t="shared" ref="R6:R8" si="4">Q6*P6</f>
        <v>500000</v>
      </c>
      <c r="S6" s="7">
        <v>3</v>
      </c>
      <c r="T6" s="5">
        <f t="shared" ref="T6:T8" si="5">R6/S6</f>
        <v>166666.66666666666</v>
      </c>
    </row>
    <row r="7" spans="2:20" x14ac:dyDescent="0.25">
      <c r="B7" s="6" t="s">
        <v>5</v>
      </c>
      <c r="C7" s="5">
        <f>M10</f>
        <v>7555010</v>
      </c>
      <c r="D7" s="5">
        <f t="shared" si="0"/>
        <v>90660120</v>
      </c>
      <c r="F7" s="6" t="s">
        <v>74</v>
      </c>
      <c r="G7" s="5">
        <v>1200000</v>
      </c>
      <c r="H7" s="5">
        <f t="shared" si="1"/>
        <v>120000</v>
      </c>
      <c r="I7" s="5">
        <v>3002</v>
      </c>
      <c r="J7" s="5">
        <f t="shared" si="2"/>
        <v>180000</v>
      </c>
      <c r="K7" s="5">
        <f>G7*0.05</f>
        <v>60000</v>
      </c>
      <c r="L7" s="5">
        <v>0</v>
      </c>
      <c r="M7" s="5">
        <f t="shared" si="3"/>
        <v>1563002</v>
      </c>
      <c r="O7" s="4" t="s">
        <v>79</v>
      </c>
      <c r="P7" s="7">
        <v>5</v>
      </c>
      <c r="Q7" s="5">
        <v>3000000</v>
      </c>
      <c r="R7" s="5">
        <f t="shared" si="4"/>
        <v>15000000</v>
      </c>
      <c r="S7" s="7">
        <v>3</v>
      </c>
      <c r="T7" s="5">
        <f t="shared" si="5"/>
        <v>5000000</v>
      </c>
    </row>
    <row r="8" spans="2:20" x14ac:dyDescent="0.25">
      <c r="B8" s="6" t="s">
        <v>6</v>
      </c>
      <c r="C8" s="5">
        <v>1500000</v>
      </c>
      <c r="D8" s="5">
        <f t="shared" si="0"/>
        <v>18000000</v>
      </c>
      <c r="F8" s="6" t="s">
        <v>75</v>
      </c>
      <c r="G8" s="5">
        <v>1000000</v>
      </c>
      <c r="H8" s="5">
        <f t="shared" si="1"/>
        <v>100000</v>
      </c>
      <c r="I8" s="5">
        <v>3003</v>
      </c>
      <c r="J8" s="5">
        <f t="shared" si="2"/>
        <v>150000</v>
      </c>
      <c r="K8" s="5">
        <f>G8*0.05</f>
        <v>50000</v>
      </c>
      <c r="L8" s="5">
        <v>0</v>
      </c>
      <c r="M8" s="5">
        <f t="shared" si="3"/>
        <v>1303003</v>
      </c>
      <c r="O8" s="4" t="s">
        <v>78</v>
      </c>
      <c r="P8" s="7">
        <v>1</v>
      </c>
      <c r="Q8" s="5">
        <v>2000000</v>
      </c>
      <c r="R8" s="5">
        <f t="shared" si="4"/>
        <v>2000000</v>
      </c>
      <c r="S8" s="7">
        <v>3</v>
      </c>
      <c r="T8" s="5">
        <f t="shared" si="5"/>
        <v>666666.66666666663</v>
      </c>
    </row>
    <row r="9" spans="2:20" x14ac:dyDescent="0.25">
      <c r="B9" s="6" t="s">
        <v>7</v>
      </c>
      <c r="C9" s="5">
        <v>100000</v>
      </c>
      <c r="D9" s="5">
        <f t="shared" si="0"/>
        <v>1200000</v>
      </c>
      <c r="F9" s="6" t="s">
        <v>76</v>
      </c>
      <c r="G9" s="5">
        <v>1200000</v>
      </c>
      <c r="H9" s="5">
        <f t="shared" si="1"/>
        <v>120000</v>
      </c>
      <c r="I9" s="5">
        <v>3004</v>
      </c>
      <c r="J9" s="5">
        <f t="shared" si="2"/>
        <v>180000</v>
      </c>
      <c r="K9" s="5">
        <f>G9*0.05</f>
        <v>60000</v>
      </c>
      <c r="L9" s="5">
        <v>0</v>
      </c>
      <c r="M9" s="5">
        <f t="shared" si="3"/>
        <v>1563004</v>
      </c>
      <c r="O9" s="45" t="s">
        <v>18</v>
      </c>
      <c r="P9" s="45"/>
      <c r="Q9" s="11">
        <f>SUM(Q5:Q8)</f>
        <v>6600000</v>
      </c>
      <c r="R9" s="11">
        <f>SUM(R5:R8)</f>
        <v>25000000</v>
      </c>
      <c r="S9" s="15"/>
      <c r="T9" s="11">
        <f>SUM(T5:T8)</f>
        <v>9583333.3333333321</v>
      </c>
    </row>
    <row r="10" spans="2:20" x14ac:dyDescent="0.25">
      <c r="B10" s="6" t="s">
        <v>8</v>
      </c>
      <c r="C10" s="5">
        <v>50000</v>
      </c>
      <c r="D10" s="5">
        <f t="shared" si="0"/>
        <v>600000</v>
      </c>
      <c r="F10" s="3" t="s">
        <v>18</v>
      </c>
      <c r="G10" s="12">
        <f>SUM(G5:G9)</f>
        <v>5800000</v>
      </c>
      <c r="H10" s="12">
        <f t="shared" ref="H10:K10" si="6">SUM(H5:H9)</f>
        <v>580000</v>
      </c>
      <c r="I10" s="12">
        <f t="shared" si="6"/>
        <v>15010</v>
      </c>
      <c r="J10" s="12">
        <f t="shared" si="6"/>
        <v>870000</v>
      </c>
      <c r="K10" s="12">
        <f t="shared" si="6"/>
        <v>290000</v>
      </c>
      <c r="L10" s="12">
        <f>SUM(L5:L9)</f>
        <v>0</v>
      </c>
      <c r="M10" s="12">
        <f>SUM(M5:M9)</f>
        <v>7555010</v>
      </c>
    </row>
    <row r="11" spans="2:20" x14ac:dyDescent="0.25">
      <c r="B11" s="6" t="s">
        <v>9</v>
      </c>
      <c r="C11" s="5">
        <v>3500000</v>
      </c>
      <c r="D11" s="5">
        <f t="shared" si="0"/>
        <v>42000000</v>
      </c>
    </row>
    <row r="12" spans="2:20" x14ac:dyDescent="0.25">
      <c r="B12" s="6" t="s">
        <v>27</v>
      </c>
      <c r="C12" s="5">
        <f>T9/12</f>
        <v>798611.11111111101</v>
      </c>
      <c r="D12" s="5">
        <f t="shared" si="0"/>
        <v>9583333.3333333321</v>
      </c>
    </row>
    <row r="13" spans="2:20" x14ac:dyDescent="0.25">
      <c r="B13" s="14" t="s">
        <v>18</v>
      </c>
      <c r="C13" s="11">
        <f>SUM(C5:C12)</f>
        <v>15003621.111111112</v>
      </c>
      <c r="D13" s="11">
        <f>SUM(D5:D12)</f>
        <v>180043453.33333334</v>
      </c>
    </row>
  </sheetData>
  <mergeCells count="1">
    <mergeCell ref="O9:P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5"/>
  <sheetViews>
    <sheetView zoomScale="96" zoomScaleNormal="96" workbookViewId="0">
      <selection activeCell="A13" sqref="A13"/>
    </sheetView>
  </sheetViews>
  <sheetFormatPr baseColWidth="10" defaultColWidth="11.42578125" defaultRowHeight="15" x14ac:dyDescent="0.25"/>
  <cols>
    <col min="1" max="1" width="2.28515625" customWidth="1"/>
    <col min="2" max="2" width="3.5703125" customWidth="1"/>
    <col min="3" max="3" width="6.140625" bestFit="1" customWidth="1"/>
    <col min="4" max="4" width="7.140625" customWidth="1"/>
    <col min="5" max="5" width="6.42578125" bestFit="1" customWidth="1"/>
    <col min="6" max="6" width="5.28515625" bestFit="1" customWidth="1"/>
    <col min="7" max="7" width="5.85546875" bestFit="1" customWidth="1"/>
    <col min="8" max="8" width="5.7109375" bestFit="1" customWidth="1"/>
    <col min="9" max="9" width="5.140625" bestFit="1" customWidth="1"/>
    <col min="10" max="10" width="8.140625" customWidth="1"/>
    <col min="11" max="11" width="10.7109375" customWidth="1"/>
    <col min="12" max="12" width="10.140625" customWidth="1"/>
    <col min="13" max="13" width="11.85546875" customWidth="1"/>
    <col min="14" max="14" width="11.140625" customWidth="1"/>
    <col min="15" max="15" width="6.5703125" bestFit="1" customWidth="1"/>
    <col min="16" max="16" width="5" customWidth="1"/>
    <col min="17" max="17" width="3.42578125" bestFit="1" customWidth="1"/>
    <col min="18" max="18" width="15.42578125" bestFit="1" customWidth="1"/>
    <col min="19" max="19" width="14.28515625" customWidth="1"/>
    <col min="20" max="20" width="15.140625" customWidth="1"/>
    <col min="21" max="21" width="14.140625" customWidth="1"/>
    <col min="22" max="22" width="15.140625" customWidth="1"/>
    <col min="23" max="23" width="15" customWidth="1"/>
    <col min="24" max="24" width="13.7109375" customWidth="1"/>
    <col min="25" max="25" width="15.85546875" customWidth="1"/>
    <col min="26" max="26" width="15.140625" customWidth="1"/>
    <col min="27" max="27" width="17" customWidth="1"/>
    <col min="28" max="28" width="15.85546875" customWidth="1"/>
    <col min="29" max="29" width="15.7109375" customWidth="1"/>
    <col min="30" max="30" width="16.140625" customWidth="1"/>
  </cols>
  <sheetData>
    <row r="2" spans="2:30" x14ac:dyDescent="0.25">
      <c r="B2" s="46" t="s">
        <v>40</v>
      </c>
      <c r="C2" s="46"/>
      <c r="D2" s="46"/>
      <c r="E2" s="1" t="s">
        <v>81</v>
      </c>
    </row>
    <row r="3" spans="2:30" x14ac:dyDescent="0.25">
      <c r="B3" s="46" t="s">
        <v>62</v>
      </c>
      <c r="C3" s="46"/>
      <c r="D3" s="46"/>
      <c r="Q3" s="46" t="s">
        <v>63</v>
      </c>
      <c r="R3" s="46"/>
      <c r="S3" s="46"/>
    </row>
    <row r="4" spans="2:30" x14ac:dyDescent="0.25">
      <c r="B4" s="46">
        <v>2015</v>
      </c>
      <c r="C4" s="46"/>
      <c r="D4" s="46"/>
      <c r="Q4" s="46">
        <v>2015</v>
      </c>
      <c r="R4" s="46"/>
      <c r="S4" s="46"/>
    </row>
    <row r="5" spans="2:30" x14ac:dyDescent="0.25">
      <c r="B5" s="26" t="s">
        <v>61</v>
      </c>
      <c r="C5" s="4" t="s">
        <v>49</v>
      </c>
      <c r="D5" s="4" t="s">
        <v>50</v>
      </c>
      <c r="E5" s="4" t="s">
        <v>51</v>
      </c>
      <c r="F5" s="4" t="s">
        <v>52</v>
      </c>
      <c r="G5" s="4" t="s">
        <v>53</v>
      </c>
      <c r="H5" s="4" t="s">
        <v>54</v>
      </c>
      <c r="I5" s="4" t="s">
        <v>55</v>
      </c>
      <c r="J5" s="4" t="s">
        <v>56</v>
      </c>
      <c r="K5" s="4" t="s">
        <v>57</v>
      </c>
      <c r="L5" s="4" t="s">
        <v>58</v>
      </c>
      <c r="M5" s="4" t="s">
        <v>59</v>
      </c>
      <c r="N5" s="4" t="s">
        <v>60</v>
      </c>
      <c r="O5" s="15" t="s">
        <v>18</v>
      </c>
      <c r="Q5" s="26" t="s">
        <v>61</v>
      </c>
      <c r="R5" s="15" t="s">
        <v>49</v>
      </c>
      <c r="S5" s="15" t="s">
        <v>50</v>
      </c>
      <c r="T5" s="15" t="s">
        <v>51</v>
      </c>
      <c r="U5" s="15" t="s">
        <v>52</v>
      </c>
      <c r="V5" s="15" t="s">
        <v>53</v>
      </c>
      <c r="W5" s="15" t="s">
        <v>54</v>
      </c>
      <c r="X5" s="15" t="s">
        <v>55</v>
      </c>
      <c r="Y5" s="15" t="s">
        <v>56</v>
      </c>
      <c r="Z5" s="15" t="s">
        <v>57</v>
      </c>
      <c r="AA5" s="15" t="s">
        <v>58</v>
      </c>
      <c r="AB5" s="15" t="s">
        <v>59</v>
      </c>
      <c r="AC5" s="15" t="s">
        <v>60</v>
      </c>
      <c r="AD5" s="15" t="s">
        <v>18</v>
      </c>
    </row>
    <row r="6" spans="2:30" x14ac:dyDescent="0.25">
      <c r="B6" s="26">
        <v>1</v>
      </c>
      <c r="C6" s="4">
        <v>200</v>
      </c>
      <c r="D6" s="4">
        <v>200</v>
      </c>
      <c r="E6" s="4">
        <v>200</v>
      </c>
      <c r="F6" s="4">
        <v>200</v>
      </c>
      <c r="G6" s="4">
        <v>200</v>
      </c>
      <c r="H6" s="4">
        <v>200</v>
      </c>
      <c r="I6" s="4">
        <v>200</v>
      </c>
      <c r="J6" s="4">
        <v>200</v>
      </c>
      <c r="K6" s="4">
        <v>200</v>
      </c>
      <c r="L6" s="4">
        <v>200</v>
      </c>
      <c r="M6" s="4">
        <v>200</v>
      </c>
      <c r="N6" s="4">
        <v>200</v>
      </c>
      <c r="O6" s="15">
        <f>SUM(C6:N6)</f>
        <v>2400</v>
      </c>
      <c r="Q6" s="26">
        <v>1</v>
      </c>
      <c r="R6" s="5">
        <f>C6*'Tabla de servicios'!$E$8</f>
        <v>80000</v>
      </c>
      <c r="S6" s="5">
        <f>D6*'Tabla de servicios'!$E$8</f>
        <v>80000</v>
      </c>
      <c r="T6" s="5">
        <f>E6*'Tabla de servicios'!$E$8</f>
        <v>80000</v>
      </c>
      <c r="U6" s="5">
        <f>F6*'Tabla de servicios'!$E$8</f>
        <v>80000</v>
      </c>
      <c r="V6" s="5">
        <f>G6*'Tabla de servicios'!$E$8</f>
        <v>80000</v>
      </c>
      <c r="W6" s="5">
        <f>H6*'Tabla de servicios'!$E$8</f>
        <v>80000</v>
      </c>
      <c r="X6" s="5">
        <f>I6*'Tabla de servicios'!$E$8</f>
        <v>80000</v>
      </c>
      <c r="Y6" s="5">
        <f>J6*'Tabla de servicios'!$E$8</f>
        <v>80000</v>
      </c>
      <c r="Z6" s="5">
        <f>K6*'Tabla de servicios'!$E$8</f>
        <v>80000</v>
      </c>
      <c r="AA6" s="5">
        <f>L6*'Tabla de servicios'!$E$8</f>
        <v>80000</v>
      </c>
      <c r="AB6" s="5">
        <f>M6*'Tabla de servicios'!$E$8</f>
        <v>80000</v>
      </c>
      <c r="AC6" s="5">
        <f>N6*'Tabla de servicios'!$E$8</f>
        <v>80000</v>
      </c>
      <c r="AD6" s="12">
        <f>SUM(R6:AC6)</f>
        <v>960000</v>
      </c>
    </row>
    <row r="7" spans="2:30" x14ac:dyDescent="0.25">
      <c r="B7" s="26">
        <v>2</v>
      </c>
      <c r="C7" s="4">
        <v>200</v>
      </c>
      <c r="D7" s="4">
        <v>200</v>
      </c>
      <c r="E7" s="4">
        <v>200</v>
      </c>
      <c r="F7" s="4">
        <v>200</v>
      </c>
      <c r="G7" s="4">
        <v>200</v>
      </c>
      <c r="H7" s="4">
        <v>200</v>
      </c>
      <c r="I7" s="4">
        <v>200</v>
      </c>
      <c r="J7" s="4">
        <v>200</v>
      </c>
      <c r="K7" s="4">
        <v>200</v>
      </c>
      <c r="L7" s="4">
        <v>200</v>
      </c>
      <c r="M7" s="4">
        <v>200</v>
      </c>
      <c r="N7" s="4">
        <v>200</v>
      </c>
      <c r="O7" s="15">
        <f t="shared" ref="O7:O9" si="0">SUM(C7:N7)</f>
        <v>2400</v>
      </c>
      <c r="Q7" s="26">
        <v>2</v>
      </c>
      <c r="R7" s="5">
        <f>Ventas!C7*'Tabla de servicios'!$E$18</f>
        <v>100000</v>
      </c>
      <c r="S7" s="5">
        <f>Ventas!D7*'Tabla de servicios'!$E$18</f>
        <v>100000</v>
      </c>
      <c r="T7" s="5">
        <f>Ventas!E7*'Tabla de servicios'!$E$18</f>
        <v>100000</v>
      </c>
      <c r="U7" s="5">
        <f>Ventas!F7*'Tabla de servicios'!$E$18</f>
        <v>100000</v>
      </c>
      <c r="V7" s="5">
        <f>Ventas!G7*'Tabla de servicios'!$E$18</f>
        <v>100000</v>
      </c>
      <c r="W7" s="5">
        <f>Ventas!H7*'Tabla de servicios'!$E$18</f>
        <v>100000</v>
      </c>
      <c r="X7" s="5">
        <f>Ventas!I7*'Tabla de servicios'!$E$18</f>
        <v>100000</v>
      </c>
      <c r="Y7" s="5">
        <f>Ventas!J7*'Tabla de servicios'!$E$18</f>
        <v>100000</v>
      </c>
      <c r="Z7" s="5">
        <f>Ventas!K7*'Tabla de servicios'!$E$18</f>
        <v>100000</v>
      </c>
      <c r="AA7" s="5">
        <f>Ventas!L7*'Tabla de servicios'!$E$18</f>
        <v>100000</v>
      </c>
      <c r="AB7" s="5">
        <f>Ventas!M7*'Tabla de servicios'!$E$18</f>
        <v>100000</v>
      </c>
      <c r="AC7" s="5">
        <f>Ventas!N7*'Tabla de servicios'!$E$18</f>
        <v>100000</v>
      </c>
      <c r="AD7" s="12">
        <f t="shared" ref="AD7:AD9" si="1">SUM(R7:AC7)</f>
        <v>1200000</v>
      </c>
    </row>
    <row r="8" spans="2:30" x14ac:dyDescent="0.25">
      <c r="B8" s="26">
        <v>3</v>
      </c>
      <c r="C8" s="4">
        <v>200</v>
      </c>
      <c r="D8" s="4">
        <v>200</v>
      </c>
      <c r="E8" s="4">
        <v>200</v>
      </c>
      <c r="F8" s="4">
        <v>200</v>
      </c>
      <c r="G8" s="4">
        <v>200</v>
      </c>
      <c r="H8" s="4">
        <v>200</v>
      </c>
      <c r="I8" s="4">
        <v>200</v>
      </c>
      <c r="J8" s="4">
        <v>200</v>
      </c>
      <c r="K8" s="4">
        <v>200</v>
      </c>
      <c r="L8" s="4">
        <v>200</v>
      </c>
      <c r="M8" s="4">
        <v>200</v>
      </c>
      <c r="N8" s="4">
        <v>200</v>
      </c>
      <c r="O8" s="15">
        <f t="shared" si="0"/>
        <v>2400</v>
      </c>
      <c r="Q8" s="26">
        <v>3</v>
      </c>
      <c r="R8" s="5">
        <f>Ventas!C8*'Tabla de servicios'!$E$28</f>
        <v>120000</v>
      </c>
      <c r="S8" s="5">
        <f>Ventas!D8*'Tabla de servicios'!$E$28</f>
        <v>120000</v>
      </c>
      <c r="T8" s="5">
        <f>Ventas!E8*'Tabla de servicios'!$E$28</f>
        <v>120000</v>
      </c>
      <c r="U8" s="5">
        <f>Ventas!F8*'Tabla de servicios'!$E$28</f>
        <v>120000</v>
      </c>
      <c r="V8" s="5">
        <f>Ventas!G8*'Tabla de servicios'!$E$28</f>
        <v>120000</v>
      </c>
      <c r="W8" s="5">
        <f>Ventas!H8*'Tabla de servicios'!$E$28</f>
        <v>120000</v>
      </c>
      <c r="X8" s="5">
        <f>Ventas!I8*'Tabla de servicios'!$E$28</f>
        <v>120000</v>
      </c>
      <c r="Y8" s="5">
        <f>Ventas!J8*'Tabla de servicios'!$E$28</f>
        <v>120000</v>
      </c>
      <c r="Z8" s="5">
        <f>Ventas!K8*'Tabla de servicios'!$E$28</f>
        <v>120000</v>
      </c>
      <c r="AA8" s="5">
        <f>Ventas!L8*'Tabla de servicios'!$E$28</f>
        <v>120000</v>
      </c>
      <c r="AB8" s="5">
        <f>Ventas!M8*'Tabla de servicios'!$E$28</f>
        <v>120000</v>
      </c>
      <c r="AC8" s="5">
        <f>Ventas!N8*'Tabla de servicios'!$E$28</f>
        <v>120000</v>
      </c>
      <c r="AD8" s="12">
        <f t="shared" si="1"/>
        <v>1440000</v>
      </c>
    </row>
    <row r="9" spans="2:30" x14ac:dyDescent="0.25">
      <c r="B9" s="26">
        <v>4</v>
      </c>
      <c r="C9" s="4">
        <v>2</v>
      </c>
      <c r="D9" s="4">
        <v>2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15">
        <f t="shared" si="0"/>
        <v>24</v>
      </c>
      <c r="Q9" s="26">
        <v>4</v>
      </c>
      <c r="R9" s="5">
        <f>C9*'Tabla de servicios'!$E$38</f>
        <v>8000000</v>
      </c>
      <c r="S9" s="5">
        <f>D9*'Tabla de servicios'!$E$38</f>
        <v>8000000</v>
      </c>
      <c r="T9" s="5">
        <f>E9*'Tabla de servicios'!$E$38</f>
        <v>8000000</v>
      </c>
      <c r="U9" s="5">
        <f>F9*'Tabla de servicios'!$E$38</f>
        <v>8000000</v>
      </c>
      <c r="V9" s="5">
        <f>G9*'Tabla de servicios'!$E$38</f>
        <v>8000000</v>
      </c>
      <c r="W9" s="5">
        <f>H9*'Tabla de servicios'!$E$38</f>
        <v>8000000</v>
      </c>
      <c r="X9" s="5">
        <f>I9*'Tabla de servicios'!$E$38</f>
        <v>8000000</v>
      </c>
      <c r="Y9" s="5">
        <f>J9*'Tabla de servicios'!$E$38</f>
        <v>8000000</v>
      </c>
      <c r="Z9" s="5">
        <f>K9*'Tabla de servicios'!$E$38</f>
        <v>8000000</v>
      </c>
      <c r="AA9" s="5">
        <f>L9*'Tabla de servicios'!$E$38</f>
        <v>8000000</v>
      </c>
      <c r="AB9" s="5">
        <f>M9*'Tabla de servicios'!$E$38</f>
        <v>8000000</v>
      </c>
      <c r="AC9" s="5">
        <f>N9*'Tabla de servicios'!$E$38</f>
        <v>8000000</v>
      </c>
      <c r="AD9" s="12">
        <f t="shared" si="1"/>
        <v>96000000</v>
      </c>
    </row>
    <row r="10" spans="2:30" x14ac:dyDescent="0.25">
      <c r="R10" s="27">
        <f t="shared" ref="R10:AD10" si="2">SUM(R6:R9)</f>
        <v>8300000</v>
      </c>
      <c r="S10" s="27">
        <f t="shared" si="2"/>
        <v>8300000</v>
      </c>
      <c r="T10" s="27">
        <f t="shared" si="2"/>
        <v>8300000</v>
      </c>
      <c r="U10" s="27">
        <f t="shared" si="2"/>
        <v>8300000</v>
      </c>
      <c r="V10" s="27">
        <f t="shared" si="2"/>
        <v>8300000</v>
      </c>
      <c r="W10" s="27">
        <f t="shared" si="2"/>
        <v>8300000</v>
      </c>
      <c r="X10" s="27">
        <f t="shared" si="2"/>
        <v>8300000</v>
      </c>
      <c r="Y10" s="27">
        <f t="shared" si="2"/>
        <v>8300000</v>
      </c>
      <c r="Z10" s="27">
        <f t="shared" si="2"/>
        <v>8300000</v>
      </c>
      <c r="AA10" s="27">
        <f t="shared" si="2"/>
        <v>8300000</v>
      </c>
      <c r="AB10" s="27">
        <f t="shared" si="2"/>
        <v>8300000</v>
      </c>
      <c r="AC10" s="27">
        <f t="shared" si="2"/>
        <v>8300000</v>
      </c>
      <c r="AD10" s="27">
        <f t="shared" si="2"/>
        <v>99600000</v>
      </c>
    </row>
    <row r="11" spans="2:30" x14ac:dyDescent="0.25">
      <c r="B11" s="46">
        <v>2016</v>
      </c>
      <c r="C11" s="46"/>
      <c r="D11" s="46"/>
      <c r="Q11" s="46">
        <v>2016</v>
      </c>
      <c r="R11" s="46"/>
      <c r="S11" s="46"/>
    </row>
    <row r="12" spans="2:30" x14ac:dyDescent="0.25">
      <c r="B12" s="26" t="s">
        <v>61</v>
      </c>
      <c r="C12" s="4" t="s">
        <v>49</v>
      </c>
      <c r="D12" s="4" t="s">
        <v>50</v>
      </c>
      <c r="E12" s="4" t="s">
        <v>51</v>
      </c>
      <c r="F12" s="4" t="s">
        <v>52</v>
      </c>
      <c r="G12" s="4" t="s">
        <v>53</v>
      </c>
      <c r="H12" s="4" t="s">
        <v>54</v>
      </c>
      <c r="I12" s="4" t="s">
        <v>55</v>
      </c>
      <c r="J12" s="4" t="s">
        <v>56</v>
      </c>
      <c r="K12" s="4" t="s">
        <v>57</v>
      </c>
      <c r="L12" s="4" t="s">
        <v>58</v>
      </c>
      <c r="M12" s="4" t="s">
        <v>59</v>
      </c>
      <c r="N12" s="4" t="s">
        <v>60</v>
      </c>
      <c r="O12" s="4" t="s">
        <v>18</v>
      </c>
      <c r="Q12" s="26" t="s">
        <v>61</v>
      </c>
      <c r="R12" s="15" t="s">
        <v>49</v>
      </c>
      <c r="S12" s="15" t="s">
        <v>50</v>
      </c>
      <c r="T12" s="15" t="s">
        <v>51</v>
      </c>
      <c r="U12" s="15" t="s">
        <v>52</v>
      </c>
      <c r="V12" s="15" t="s">
        <v>53</v>
      </c>
      <c r="W12" s="15" t="s">
        <v>54</v>
      </c>
      <c r="X12" s="15" t="s">
        <v>55</v>
      </c>
      <c r="Y12" s="15" t="s">
        <v>56</v>
      </c>
      <c r="Z12" s="15" t="s">
        <v>57</v>
      </c>
      <c r="AA12" s="15" t="s">
        <v>58</v>
      </c>
      <c r="AB12" s="15" t="s">
        <v>59</v>
      </c>
      <c r="AC12" s="15" t="s">
        <v>60</v>
      </c>
      <c r="AD12" s="15" t="s">
        <v>18</v>
      </c>
    </row>
    <row r="13" spans="2:30" x14ac:dyDescent="0.25">
      <c r="B13" s="26">
        <v>1</v>
      </c>
      <c r="C13" s="4">
        <v>400</v>
      </c>
      <c r="D13" s="4">
        <v>400</v>
      </c>
      <c r="E13" s="4">
        <v>400</v>
      </c>
      <c r="F13" s="4">
        <v>400</v>
      </c>
      <c r="G13" s="4">
        <v>400</v>
      </c>
      <c r="H13" s="4">
        <v>400</v>
      </c>
      <c r="I13" s="4">
        <v>400</v>
      </c>
      <c r="J13" s="4">
        <v>400</v>
      </c>
      <c r="K13" s="4">
        <v>400</v>
      </c>
      <c r="L13" s="4">
        <v>400</v>
      </c>
      <c r="M13" s="4">
        <v>400</v>
      </c>
      <c r="N13" s="4">
        <v>400</v>
      </c>
      <c r="O13" s="4">
        <f>SUM(C13:N13)</f>
        <v>4800</v>
      </c>
      <c r="Q13" s="26">
        <v>1</v>
      </c>
      <c r="R13" s="5">
        <f>C13*'Tabla de servicios'!$E$8</f>
        <v>160000</v>
      </c>
      <c r="S13" s="5">
        <f>D13*'Tabla de servicios'!$E$8</f>
        <v>160000</v>
      </c>
      <c r="T13" s="5">
        <f>E13*'Tabla de servicios'!$E$8</f>
        <v>160000</v>
      </c>
      <c r="U13" s="5">
        <f>F13*'Tabla de servicios'!$E$8</f>
        <v>160000</v>
      </c>
      <c r="V13" s="5">
        <f>G13*'Tabla de servicios'!$E$8</f>
        <v>160000</v>
      </c>
      <c r="W13" s="5">
        <f>H13*'Tabla de servicios'!$E$8</f>
        <v>160000</v>
      </c>
      <c r="X13" s="5">
        <f>I13*'Tabla de servicios'!$E$8</f>
        <v>160000</v>
      </c>
      <c r="Y13" s="5">
        <f>J13*'Tabla de servicios'!$E$8</f>
        <v>160000</v>
      </c>
      <c r="Z13" s="5">
        <f>K13*'Tabla de servicios'!$E$8</f>
        <v>160000</v>
      </c>
      <c r="AA13" s="5">
        <f>L13*'Tabla de servicios'!$E$8</f>
        <v>160000</v>
      </c>
      <c r="AB13" s="5">
        <f>M13*'Tabla de servicios'!$E$8</f>
        <v>160000</v>
      </c>
      <c r="AC13" s="5">
        <f>N13*'Tabla de servicios'!$E$8</f>
        <v>160000</v>
      </c>
      <c r="AD13" s="12">
        <f>SUM(R13:AC13)</f>
        <v>1920000</v>
      </c>
    </row>
    <row r="14" spans="2:30" x14ac:dyDescent="0.25">
      <c r="B14" s="26">
        <v>2</v>
      </c>
      <c r="C14" s="4">
        <v>400</v>
      </c>
      <c r="D14" s="4">
        <v>400</v>
      </c>
      <c r="E14" s="4">
        <v>400</v>
      </c>
      <c r="F14" s="4">
        <v>400</v>
      </c>
      <c r="G14" s="4">
        <v>400</v>
      </c>
      <c r="H14" s="4">
        <v>400</v>
      </c>
      <c r="I14" s="4">
        <v>400</v>
      </c>
      <c r="J14" s="4">
        <v>400</v>
      </c>
      <c r="K14" s="4">
        <v>400</v>
      </c>
      <c r="L14" s="4">
        <v>400</v>
      </c>
      <c r="M14" s="4">
        <v>400</v>
      </c>
      <c r="N14" s="4">
        <v>400</v>
      </c>
      <c r="O14" s="4">
        <f t="shared" ref="O14:O15" si="3">SUM(C14:N14)</f>
        <v>4800</v>
      </c>
      <c r="Q14" s="26">
        <v>2</v>
      </c>
      <c r="R14" s="5">
        <f>Ventas!C14*'Tabla de servicios'!$E$18</f>
        <v>200000</v>
      </c>
      <c r="S14" s="5">
        <f>Ventas!D14*'Tabla de servicios'!$E$18</f>
        <v>200000</v>
      </c>
      <c r="T14" s="5">
        <f>Ventas!E14*'Tabla de servicios'!$E$18</f>
        <v>200000</v>
      </c>
      <c r="U14" s="5">
        <f>Ventas!F14*'Tabla de servicios'!$E$18</f>
        <v>200000</v>
      </c>
      <c r="V14" s="5">
        <f>Ventas!G14*'Tabla de servicios'!$E$18</f>
        <v>200000</v>
      </c>
      <c r="W14" s="5">
        <f>Ventas!H14*'Tabla de servicios'!$E$18</f>
        <v>200000</v>
      </c>
      <c r="X14" s="5">
        <f>Ventas!I14*'Tabla de servicios'!$E$18</f>
        <v>200000</v>
      </c>
      <c r="Y14" s="5">
        <f>Ventas!J14*'Tabla de servicios'!$E$18</f>
        <v>200000</v>
      </c>
      <c r="Z14" s="5">
        <f>Ventas!K14*'Tabla de servicios'!$E$18</f>
        <v>200000</v>
      </c>
      <c r="AA14" s="5">
        <f>Ventas!L14*'Tabla de servicios'!$E$18</f>
        <v>200000</v>
      </c>
      <c r="AB14" s="5">
        <f>Ventas!M14*'Tabla de servicios'!$E$18</f>
        <v>200000</v>
      </c>
      <c r="AC14" s="5">
        <f>Ventas!N14*'Tabla de servicios'!$E$18</f>
        <v>200000</v>
      </c>
      <c r="AD14" s="12">
        <f t="shared" ref="AD14:AD16" si="4">SUM(R14:AC14)</f>
        <v>2400000</v>
      </c>
    </row>
    <row r="15" spans="2:30" x14ac:dyDescent="0.25">
      <c r="B15" s="26">
        <v>3</v>
      </c>
      <c r="C15" s="4">
        <v>400</v>
      </c>
      <c r="D15" s="4">
        <v>400</v>
      </c>
      <c r="E15" s="4">
        <v>400</v>
      </c>
      <c r="F15" s="4">
        <v>400</v>
      </c>
      <c r="G15" s="4">
        <v>400</v>
      </c>
      <c r="H15" s="4">
        <v>400</v>
      </c>
      <c r="I15" s="4">
        <v>400</v>
      </c>
      <c r="J15" s="4">
        <v>400</v>
      </c>
      <c r="K15" s="4">
        <v>400</v>
      </c>
      <c r="L15" s="4">
        <v>400</v>
      </c>
      <c r="M15" s="4">
        <v>400</v>
      </c>
      <c r="N15" s="4">
        <v>400</v>
      </c>
      <c r="O15" s="4">
        <f t="shared" si="3"/>
        <v>4800</v>
      </c>
      <c r="Q15" s="26">
        <v>3</v>
      </c>
      <c r="R15" s="5">
        <f>Ventas!C15*'Tabla de servicios'!$E$28</f>
        <v>240000</v>
      </c>
      <c r="S15" s="5">
        <f>Ventas!D15*'Tabla de servicios'!$E$28</f>
        <v>240000</v>
      </c>
      <c r="T15" s="5">
        <f>Ventas!E15*'Tabla de servicios'!$E$28</f>
        <v>240000</v>
      </c>
      <c r="U15" s="5">
        <f>Ventas!F15*'Tabla de servicios'!$E$28</f>
        <v>240000</v>
      </c>
      <c r="V15" s="5">
        <f>Ventas!G15*'Tabla de servicios'!$E$28</f>
        <v>240000</v>
      </c>
      <c r="W15" s="5">
        <f>Ventas!H15*'Tabla de servicios'!$E$28</f>
        <v>240000</v>
      </c>
      <c r="X15" s="5">
        <f>Ventas!I15*'Tabla de servicios'!$E$28</f>
        <v>240000</v>
      </c>
      <c r="Y15" s="5">
        <f>Ventas!J15*'Tabla de servicios'!$E$28</f>
        <v>240000</v>
      </c>
      <c r="Z15" s="5">
        <f>Ventas!K15*'Tabla de servicios'!$E$28</f>
        <v>240000</v>
      </c>
      <c r="AA15" s="5">
        <f>Ventas!L15*'Tabla de servicios'!$E$28</f>
        <v>240000</v>
      </c>
      <c r="AB15" s="5">
        <f>Ventas!M15*'Tabla de servicios'!$E$28</f>
        <v>240000</v>
      </c>
      <c r="AC15" s="5">
        <f>Ventas!N15*'Tabla de servicios'!$E$28</f>
        <v>240000</v>
      </c>
      <c r="AD15" s="12">
        <f t="shared" si="4"/>
        <v>2880000</v>
      </c>
    </row>
    <row r="16" spans="2:30" x14ac:dyDescent="0.25">
      <c r="B16" s="26">
        <v>4</v>
      </c>
      <c r="C16" s="4">
        <v>4</v>
      </c>
      <c r="D16" s="4">
        <v>4</v>
      </c>
      <c r="E16" s="4">
        <v>4</v>
      </c>
      <c r="F16" s="4">
        <v>4</v>
      </c>
      <c r="G16" s="4">
        <v>4</v>
      </c>
      <c r="H16" s="4">
        <v>4</v>
      </c>
      <c r="I16" s="4">
        <v>4</v>
      </c>
      <c r="J16" s="4">
        <v>4</v>
      </c>
      <c r="K16" s="4">
        <v>4</v>
      </c>
      <c r="L16" s="4">
        <v>4</v>
      </c>
      <c r="M16" s="4">
        <v>4</v>
      </c>
      <c r="N16" s="4">
        <v>4</v>
      </c>
      <c r="O16" s="15">
        <f t="shared" ref="O16" si="5">SUM(C16:N16)</f>
        <v>48</v>
      </c>
      <c r="Q16" s="26">
        <v>4</v>
      </c>
      <c r="R16" s="5">
        <f>C16*'Tabla de servicios'!$E$38</f>
        <v>16000000</v>
      </c>
      <c r="S16" s="5">
        <f>D16*'Tabla de servicios'!$E$38</f>
        <v>16000000</v>
      </c>
      <c r="T16" s="5">
        <f>E16*'Tabla de servicios'!$E$38</f>
        <v>16000000</v>
      </c>
      <c r="U16" s="5">
        <f>F16*'Tabla de servicios'!$E$38</f>
        <v>16000000</v>
      </c>
      <c r="V16" s="5">
        <f>G16*'Tabla de servicios'!$E$38</f>
        <v>16000000</v>
      </c>
      <c r="W16" s="5">
        <f>H16*'Tabla de servicios'!$E$38</f>
        <v>16000000</v>
      </c>
      <c r="X16" s="5">
        <f>I16*'Tabla de servicios'!$E$38</f>
        <v>16000000</v>
      </c>
      <c r="Y16" s="5">
        <f>J16*'Tabla de servicios'!$E$38</f>
        <v>16000000</v>
      </c>
      <c r="Z16" s="5">
        <f>K16*'Tabla de servicios'!$E$38</f>
        <v>16000000</v>
      </c>
      <c r="AA16" s="5">
        <f>L16*'Tabla de servicios'!$E$38</f>
        <v>16000000</v>
      </c>
      <c r="AB16" s="5">
        <f>M16*'Tabla de servicios'!$E$38</f>
        <v>16000000</v>
      </c>
      <c r="AC16" s="5">
        <f>N16*'Tabla de servicios'!$E$38</f>
        <v>16000000</v>
      </c>
      <c r="AD16" s="12">
        <f t="shared" si="4"/>
        <v>192000000</v>
      </c>
    </row>
    <row r="17" spans="2:30" x14ac:dyDescent="0.25">
      <c r="R17" s="27">
        <f t="shared" ref="R17:AD17" si="6">SUM(R13:R16)</f>
        <v>16600000</v>
      </c>
      <c r="S17" s="27">
        <f t="shared" si="6"/>
        <v>16600000</v>
      </c>
      <c r="T17" s="27">
        <f t="shared" si="6"/>
        <v>16600000</v>
      </c>
      <c r="U17" s="27">
        <f t="shared" si="6"/>
        <v>16600000</v>
      </c>
      <c r="V17" s="27">
        <f t="shared" si="6"/>
        <v>16600000</v>
      </c>
      <c r="W17" s="27">
        <f t="shared" si="6"/>
        <v>16600000</v>
      </c>
      <c r="X17" s="27">
        <f t="shared" si="6"/>
        <v>16600000</v>
      </c>
      <c r="Y17" s="27">
        <f t="shared" si="6"/>
        <v>16600000</v>
      </c>
      <c r="Z17" s="27">
        <f t="shared" si="6"/>
        <v>16600000</v>
      </c>
      <c r="AA17" s="27">
        <f t="shared" si="6"/>
        <v>16600000</v>
      </c>
      <c r="AB17" s="27">
        <f t="shared" si="6"/>
        <v>16600000</v>
      </c>
      <c r="AC17" s="27">
        <f t="shared" si="6"/>
        <v>16600000</v>
      </c>
      <c r="AD17" s="28">
        <f t="shared" si="6"/>
        <v>199200000</v>
      </c>
    </row>
    <row r="18" spans="2:30" x14ac:dyDescent="0.25">
      <c r="B18" s="46">
        <v>2017</v>
      </c>
      <c r="C18" s="46"/>
      <c r="D18" s="46"/>
      <c r="Q18" s="46">
        <v>2017</v>
      </c>
      <c r="R18" s="46"/>
      <c r="S18" s="46"/>
      <c r="AD18" s="28"/>
    </row>
    <row r="19" spans="2:30" x14ac:dyDescent="0.25">
      <c r="B19" s="26" t="s">
        <v>61</v>
      </c>
      <c r="C19" s="4" t="s">
        <v>49</v>
      </c>
      <c r="D19" s="4" t="s">
        <v>50</v>
      </c>
      <c r="E19" s="4" t="s">
        <v>51</v>
      </c>
      <c r="F19" s="4" t="s">
        <v>52</v>
      </c>
      <c r="G19" s="4" t="s">
        <v>53</v>
      </c>
      <c r="H19" s="4" t="s">
        <v>54</v>
      </c>
      <c r="I19" s="4" t="s">
        <v>55</v>
      </c>
      <c r="J19" s="4" t="s">
        <v>56</v>
      </c>
      <c r="K19" s="4" t="s">
        <v>57</v>
      </c>
      <c r="L19" s="4" t="s">
        <v>58</v>
      </c>
      <c r="M19" s="4" t="s">
        <v>59</v>
      </c>
      <c r="N19" s="4" t="s">
        <v>60</v>
      </c>
      <c r="O19" s="4" t="s">
        <v>18</v>
      </c>
      <c r="Q19" s="26" t="s">
        <v>61</v>
      </c>
      <c r="R19" s="15" t="s">
        <v>49</v>
      </c>
      <c r="S19" s="15" t="s">
        <v>50</v>
      </c>
      <c r="T19" s="15" t="s">
        <v>51</v>
      </c>
      <c r="U19" s="15" t="s">
        <v>52</v>
      </c>
      <c r="V19" s="15" t="s">
        <v>53</v>
      </c>
      <c r="W19" s="15" t="s">
        <v>54</v>
      </c>
      <c r="X19" s="15" t="s">
        <v>55</v>
      </c>
      <c r="Y19" s="15" t="s">
        <v>56</v>
      </c>
      <c r="Z19" s="15" t="s">
        <v>57</v>
      </c>
      <c r="AA19" s="15" t="s">
        <v>58</v>
      </c>
      <c r="AB19" s="15" t="s">
        <v>59</v>
      </c>
      <c r="AC19" s="15" t="s">
        <v>60</v>
      </c>
      <c r="AD19" s="12" t="s">
        <v>18</v>
      </c>
    </row>
    <row r="20" spans="2:30" x14ac:dyDescent="0.25">
      <c r="B20" s="26">
        <v>1</v>
      </c>
      <c r="C20" s="4">
        <v>800</v>
      </c>
      <c r="D20" s="4">
        <v>800</v>
      </c>
      <c r="E20" s="4">
        <v>800</v>
      </c>
      <c r="F20" s="4">
        <v>800</v>
      </c>
      <c r="G20" s="4">
        <v>800</v>
      </c>
      <c r="H20" s="4">
        <v>800</v>
      </c>
      <c r="I20" s="4">
        <v>800</v>
      </c>
      <c r="J20" s="4">
        <v>800</v>
      </c>
      <c r="K20" s="4">
        <v>800</v>
      </c>
      <c r="L20" s="4">
        <v>800</v>
      </c>
      <c r="M20" s="4">
        <v>800</v>
      </c>
      <c r="N20" s="4">
        <v>800</v>
      </c>
      <c r="O20" s="4">
        <f>SUM(C20:N20)</f>
        <v>9600</v>
      </c>
      <c r="Q20" s="26">
        <v>1</v>
      </c>
      <c r="R20" s="5">
        <f>C20*'Tabla de servicios'!$E$8</f>
        <v>320000</v>
      </c>
      <c r="S20" s="5">
        <f>D20*'Tabla de servicios'!$E$8</f>
        <v>320000</v>
      </c>
      <c r="T20" s="5">
        <f>E20*'Tabla de servicios'!$E$8</f>
        <v>320000</v>
      </c>
      <c r="U20" s="5">
        <f>F20*'Tabla de servicios'!$E$8</f>
        <v>320000</v>
      </c>
      <c r="V20" s="5">
        <f>G20*'Tabla de servicios'!$E$8</f>
        <v>320000</v>
      </c>
      <c r="W20" s="5">
        <f>H20*'Tabla de servicios'!$E$8</f>
        <v>320000</v>
      </c>
      <c r="X20" s="5">
        <f>I20*'Tabla de servicios'!$E$8</f>
        <v>320000</v>
      </c>
      <c r="Y20" s="5">
        <f>J20*'Tabla de servicios'!$E$8</f>
        <v>320000</v>
      </c>
      <c r="Z20" s="5">
        <f>K20*'Tabla de servicios'!$E$8</f>
        <v>320000</v>
      </c>
      <c r="AA20" s="5">
        <f>L20*'Tabla de servicios'!$E$8</f>
        <v>320000</v>
      </c>
      <c r="AB20" s="5">
        <f>M20*'Tabla de servicios'!$E$8</f>
        <v>320000</v>
      </c>
      <c r="AC20" s="5">
        <f>N20*'Tabla de servicios'!$E$8</f>
        <v>320000</v>
      </c>
      <c r="AD20" s="12">
        <f>SUM(R20:AC20)</f>
        <v>3840000</v>
      </c>
    </row>
    <row r="21" spans="2:30" x14ac:dyDescent="0.25">
      <c r="B21" s="26">
        <v>2</v>
      </c>
      <c r="C21" s="4">
        <v>800</v>
      </c>
      <c r="D21" s="4">
        <v>800</v>
      </c>
      <c r="E21" s="4">
        <v>800</v>
      </c>
      <c r="F21" s="4">
        <v>800</v>
      </c>
      <c r="G21" s="4">
        <v>800</v>
      </c>
      <c r="H21" s="4">
        <v>800</v>
      </c>
      <c r="I21" s="4">
        <v>800</v>
      </c>
      <c r="J21" s="4">
        <v>800</v>
      </c>
      <c r="K21" s="4">
        <v>800</v>
      </c>
      <c r="L21" s="4">
        <v>800</v>
      </c>
      <c r="M21" s="4">
        <v>800</v>
      </c>
      <c r="N21" s="4">
        <v>800</v>
      </c>
      <c r="O21" s="4">
        <f t="shared" ref="O21:O22" si="7">SUM(C21:N21)</f>
        <v>9600</v>
      </c>
      <c r="Q21" s="26">
        <v>2</v>
      </c>
      <c r="R21" s="5">
        <f>Ventas!C21*'Tabla de servicios'!$E$18</f>
        <v>400000</v>
      </c>
      <c r="S21" s="5">
        <f>Ventas!D21*'Tabla de servicios'!$E$18</f>
        <v>400000</v>
      </c>
      <c r="T21" s="5">
        <f>Ventas!E21*'Tabla de servicios'!$E$18</f>
        <v>400000</v>
      </c>
      <c r="U21" s="5">
        <f>Ventas!F21*'Tabla de servicios'!$E$18</f>
        <v>400000</v>
      </c>
      <c r="V21" s="5">
        <f>Ventas!G21*'Tabla de servicios'!$E$18</f>
        <v>400000</v>
      </c>
      <c r="W21" s="5">
        <f>Ventas!H21*'Tabla de servicios'!$E$18</f>
        <v>400000</v>
      </c>
      <c r="X21" s="5">
        <f>Ventas!I21*'Tabla de servicios'!$E$18</f>
        <v>400000</v>
      </c>
      <c r="Y21" s="5">
        <f>Ventas!J21*'Tabla de servicios'!$E$18</f>
        <v>400000</v>
      </c>
      <c r="Z21" s="5">
        <f>Ventas!K21*'Tabla de servicios'!$E$18</f>
        <v>400000</v>
      </c>
      <c r="AA21" s="5">
        <f>Ventas!L21*'Tabla de servicios'!$E$18</f>
        <v>400000</v>
      </c>
      <c r="AB21" s="5">
        <f>Ventas!M21*'Tabla de servicios'!$E$18</f>
        <v>400000</v>
      </c>
      <c r="AC21" s="5">
        <f>Ventas!N21*'Tabla de servicios'!$E$18</f>
        <v>400000</v>
      </c>
      <c r="AD21" s="12">
        <f t="shared" ref="AD21:AD23" si="8">SUM(R21:AC21)</f>
        <v>4800000</v>
      </c>
    </row>
    <row r="22" spans="2:30" x14ac:dyDescent="0.25">
      <c r="B22" s="26">
        <v>3</v>
      </c>
      <c r="C22" s="4">
        <v>800</v>
      </c>
      <c r="D22" s="4">
        <v>800</v>
      </c>
      <c r="E22" s="4">
        <v>800</v>
      </c>
      <c r="F22" s="4">
        <v>800</v>
      </c>
      <c r="G22" s="4">
        <v>800</v>
      </c>
      <c r="H22" s="4">
        <v>800</v>
      </c>
      <c r="I22" s="4">
        <v>800</v>
      </c>
      <c r="J22" s="4">
        <v>800</v>
      </c>
      <c r="K22" s="4">
        <v>800</v>
      </c>
      <c r="L22" s="4">
        <v>800</v>
      </c>
      <c r="M22" s="4">
        <v>800</v>
      </c>
      <c r="N22" s="4">
        <v>800</v>
      </c>
      <c r="O22" s="4">
        <f t="shared" si="7"/>
        <v>9600</v>
      </c>
      <c r="Q22" s="26">
        <v>3</v>
      </c>
      <c r="R22" s="5">
        <f>Ventas!C22*'Tabla de servicios'!$E$28</f>
        <v>480000</v>
      </c>
      <c r="S22" s="5">
        <f>Ventas!D22*'Tabla de servicios'!$E$28</f>
        <v>480000</v>
      </c>
      <c r="T22" s="5">
        <f>Ventas!E22*'Tabla de servicios'!$E$28</f>
        <v>480000</v>
      </c>
      <c r="U22" s="5">
        <f>Ventas!F22*'Tabla de servicios'!$E$28</f>
        <v>480000</v>
      </c>
      <c r="V22" s="5">
        <f>Ventas!G22*'Tabla de servicios'!$E$28</f>
        <v>480000</v>
      </c>
      <c r="W22" s="5">
        <f>Ventas!H22*'Tabla de servicios'!$E$28</f>
        <v>480000</v>
      </c>
      <c r="X22" s="5">
        <f>Ventas!I22*'Tabla de servicios'!$E$28</f>
        <v>480000</v>
      </c>
      <c r="Y22" s="5">
        <f>Ventas!J22*'Tabla de servicios'!$E$28</f>
        <v>480000</v>
      </c>
      <c r="Z22" s="5">
        <f>Ventas!K22*'Tabla de servicios'!$E$28</f>
        <v>480000</v>
      </c>
      <c r="AA22" s="5">
        <f>Ventas!L22*'Tabla de servicios'!$E$28</f>
        <v>480000</v>
      </c>
      <c r="AB22" s="5">
        <f>Ventas!M22*'Tabla de servicios'!$E$28</f>
        <v>480000</v>
      </c>
      <c r="AC22" s="5">
        <f>Ventas!N22*'Tabla de servicios'!$E$28</f>
        <v>480000</v>
      </c>
      <c r="AD22" s="12">
        <f t="shared" si="8"/>
        <v>5760000</v>
      </c>
    </row>
    <row r="23" spans="2:30" x14ac:dyDescent="0.25">
      <c r="B23" s="26">
        <v>4</v>
      </c>
      <c r="C23" s="4">
        <v>6</v>
      </c>
      <c r="D23" s="4">
        <v>6</v>
      </c>
      <c r="E23" s="4">
        <v>6</v>
      </c>
      <c r="F23" s="4">
        <v>6</v>
      </c>
      <c r="G23" s="4">
        <v>6</v>
      </c>
      <c r="H23" s="4">
        <v>6</v>
      </c>
      <c r="I23" s="4">
        <v>6</v>
      </c>
      <c r="J23" s="4">
        <v>6</v>
      </c>
      <c r="K23" s="4">
        <v>6</v>
      </c>
      <c r="L23" s="4">
        <v>6</v>
      </c>
      <c r="M23" s="4">
        <v>6</v>
      </c>
      <c r="N23" s="4">
        <v>6</v>
      </c>
      <c r="O23" s="15">
        <f t="shared" ref="O23" si="9">SUM(C23:N23)</f>
        <v>72</v>
      </c>
      <c r="Q23" s="26">
        <v>4</v>
      </c>
      <c r="R23" s="5">
        <f>C23*'Tabla de servicios'!$E$38</f>
        <v>24000000</v>
      </c>
      <c r="S23" s="5">
        <f>D23*'Tabla de servicios'!$E$38</f>
        <v>24000000</v>
      </c>
      <c r="T23" s="5">
        <f>E23*'Tabla de servicios'!$E$38</f>
        <v>24000000</v>
      </c>
      <c r="U23" s="5">
        <f>F23*'Tabla de servicios'!$E$38</f>
        <v>24000000</v>
      </c>
      <c r="V23" s="5">
        <f>G23*'Tabla de servicios'!$E$38</f>
        <v>24000000</v>
      </c>
      <c r="W23" s="5">
        <f>H23*'Tabla de servicios'!$E$38</f>
        <v>24000000</v>
      </c>
      <c r="X23" s="5">
        <f>I23*'Tabla de servicios'!$E$38</f>
        <v>24000000</v>
      </c>
      <c r="Y23" s="5">
        <f>J23*'Tabla de servicios'!$E$38</f>
        <v>24000000</v>
      </c>
      <c r="Z23" s="5">
        <f>K23*'Tabla de servicios'!$E$38</f>
        <v>24000000</v>
      </c>
      <c r="AA23" s="5">
        <f>L23*'Tabla de servicios'!$E$38</f>
        <v>24000000</v>
      </c>
      <c r="AB23" s="5">
        <f>M23*'Tabla de servicios'!$E$38</f>
        <v>24000000</v>
      </c>
      <c r="AC23" s="5">
        <f>N23*'Tabla de servicios'!$E$38</f>
        <v>24000000</v>
      </c>
      <c r="AD23" s="12">
        <f t="shared" si="8"/>
        <v>288000000</v>
      </c>
    </row>
    <row r="24" spans="2:30" x14ac:dyDescent="0.25">
      <c r="R24" s="27">
        <f t="shared" ref="R24:AD24" si="10">SUM(R20:R23)</f>
        <v>25200000</v>
      </c>
      <c r="S24" s="27">
        <f t="shared" si="10"/>
        <v>25200000</v>
      </c>
      <c r="T24" s="27">
        <f t="shared" si="10"/>
        <v>25200000</v>
      </c>
      <c r="U24" s="27">
        <f t="shared" si="10"/>
        <v>25200000</v>
      </c>
      <c r="V24" s="27">
        <f t="shared" si="10"/>
        <v>25200000</v>
      </c>
      <c r="W24" s="27">
        <f t="shared" si="10"/>
        <v>25200000</v>
      </c>
      <c r="X24" s="27">
        <f t="shared" si="10"/>
        <v>25200000</v>
      </c>
      <c r="Y24" s="27">
        <f t="shared" si="10"/>
        <v>25200000</v>
      </c>
      <c r="Z24" s="27">
        <f t="shared" si="10"/>
        <v>25200000</v>
      </c>
      <c r="AA24" s="27">
        <f t="shared" si="10"/>
        <v>25200000</v>
      </c>
      <c r="AB24" s="27">
        <f t="shared" si="10"/>
        <v>25200000</v>
      </c>
      <c r="AC24" s="27">
        <f t="shared" si="10"/>
        <v>25200000</v>
      </c>
      <c r="AD24" s="28">
        <f t="shared" si="10"/>
        <v>302400000</v>
      </c>
    </row>
    <row r="25" spans="2:30" x14ac:dyDescent="0.25">
      <c r="AC25" s="29" t="s">
        <v>64</v>
      </c>
      <c r="AD25" s="30">
        <f>AD24+AD17+AD10</f>
        <v>601200000</v>
      </c>
    </row>
  </sheetData>
  <mergeCells count="9">
    <mergeCell ref="B18:D18"/>
    <mergeCell ref="Q18:S18"/>
    <mergeCell ref="B3:D3"/>
    <mergeCell ref="Q3:S3"/>
    <mergeCell ref="B2:D2"/>
    <mergeCell ref="B4:D4"/>
    <mergeCell ref="Q4:S4"/>
    <mergeCell ref="B11:D11"/>
    <mergeCell ref="Q11:S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E11" sqref="E11"/>
    </sheetView>
  </sheetViews>
  <sheetFormatPr baseColWidth="10" defaultColWidth="11.42578125" defaultRowHeight="15" x14ac:dyDescent="0.25"/>
  <cols>
    <col min="1" max="1" width="2.5703125" bestFit="1" customWidth="1"/>
    <col min="2" max="2" width="42.28515625" bestFit="1" customWidth="1"/>
    <col min="3" max="3" width="15.140625" bestFit="1" customWidth="1"/>
    <col min="4" max="4" width="5.85546875" style="8" customWidth="1"/>
    <col min="5" max="5" width="15.85546875" customWidth="1"/>
    <col min="6" max="6" width="7" bestFit="1" customWidth="1"/>
    <col min="7" max="7" width="16.28515625" customWidth="1"/>
    <col min="8" max="8" width="4.140625" customWidth="1"/>
    <col min="9" max="9" width="16.140625" customWidth="1"/>
    <col min="10" max="10" width="15.28515625" customWidth="1"/>
    <col min="11" max="11" width="17" customWidth="1"/>
  </cols>
  <sheetData>
    <row r="2" spans="1:11" x14ac:dyDescent="0.25">
      <c r="B2" t="s">
        <v>31</v>
      </c>
    </row>
    <row r="4" spans="1:11" x14ac:dyDescent="0.25">
      <c r="B4" s="3" t="s">
        <v>30</v>
      </c>
      <c r="C4" s="3" t="s">
        <v>36</v>
      </c>
      <c r="D4" s="3" t="s">
        <v>37</v>
      </c>
      <c r="E4" s="14" t="s">
        <v>18</v>
      </c>
      <c r="F4" s="33" t="s">
        <v>48</v>
      </c>
      <c r="G4" s="14" t="s">
        <v>18</v>
      </c>
      <c r="I4" s="1" t="s">
        <v>38</v>
      </c>
      <c r="J4" s="1"/>
    </row>
    <row r="5" spans="1:11" x14ac:dyDescent="0.25">
      <c r="A5" t="s">
        <v>32</v>
      </c>
      <c r="B5" s="4" t="str">
        <f>'Tabla de servicios'!B4:E4</f>
        <v xml:space="preserve">SERVICIO RESERVA #1: 15 A 20 MINUTOS </v>
      </c>
      <c r="C5" s="5">
        <f>'Tabla de servicios'!E8</f>
        <v>400</v>
      </c>
      <c r="D5" s="7">
        <f>Ventas!O6</f>
        <v>2400</v>
      </c>
      <c r="E5" s="10">
        <f>D5*C5</f>
        <v>960000</v>
      </c>
      <c r="F5" s="34">
        <f>Ventas!O6+Ventas!O13+Ventas!O20</f>
        <v>16800</v>
      </c>
      <c r="G5" s="10">
        <f>F5*C5</f>
        <v>6720000</v>
      </c>
      <c r="I5" s="15" t="s">
        <v>39</v>
      </c>
      <c r="J5" s="15" t="s">
        <v>65</v>
      </c>
      <c r="K5" s="15" t="s">
        <v>66</v>
      </c>
    </row>
    <row r="6" spans="1:11" x14ac:dyDescent="0.25">
      <c r="A6" t="s">
        <v>33</v>
      </c>
      <c r="B6" s="4" t="str">
        <f>'Tabla de servicios'!B14:E14</f>
        <v xml:space="preserve">SERVICIO RESERVA #2: 20 A 25 MINUTOS </v>
      </c>
      <c r="C6" s="5">
        <f>'Tabla de servicios'!E18</f>
        <v>500</v>
      </c>
      <c r="D6" s="7">
        <f>Ventas!O7</f>
        <v>2400</v>
      </c>
      <c r="E6" s="10">
        <f t="shared" ref="E6:E7" si="0">D6*C6</f>
        <v>1200000</v>
      </c>
      <c r="F6" s="34">
        <f>Ventas!O7+Ventas!O14+Ventas!O21</f>
        <v>16800</v>
      </c>
      <c r="G6" s="10">
        <f t="shared" ref="G6:G7" si="1">F6*C6</f>
        <v>8400000</v>
      </c>
      <c r="I6" s="5">
        <f>costos!D13</f>
        <v>180043453.33333334</v>
      </c>
      <c r="J6" s="5">
        <f>E9</f>
        <v>99600000</v>
      </c>
      <c r="K6" s="10">
        <f>G9</f>
        <v>601200000</v>
      </c>
    </row>
    <row r="7" spans="1:11" x14ac:dyDescent="0.25">
      <c r="A7" t="s">
        <v>34</v>
      </c>
      <c r="B7" s="4" t="str">
        <f>'Tabla de servicios'!B24:E24</f>
        <v xml:space="preserve">SERVICIO RESERVA #3: 25 A 30 MIN </v>
      </c>
      <c r="C7" s="5">
        <f>'Tabla de servicios'!E28</f>
        <v>600</v>
      </c>
      <c r="D7" s="7">
        <f>Ventas!O8</f>
        <v>2400</v>
      </c>
      <c r="E7" s="10">
        <f t="shared" si="0"/>
        <v>1440000</v>
      </c>
      <c r="F7" s="34">
        <f>Ventas!O8+Ventas!O15+Ventas!O22</f>
        <v>16800</v>
      </c>
      <c r="G7" s="10">
        <f t="shared" si="1"/>
        <v>10080000</v>
      </c>
      <c r="I7" s="4" t="s">
        <v>41</v>
      </c>
      <c r="J7" s="35">
        <f>J6-I6</f>
        <v>-80443453.333333343</v>
      </c>
      <c r="K7" s="35">
        <f>K6-I6</f>
        <v>421156546.66666663</v>
      </c>
    </row>
    <row r="8" spans="1:11" x14ac:dyDescent="0.25">
      <c r="A8" t="s">
        <v>35</v>
      </c>
      <c r="B8" s="4" t="str">
        <f>'Tabla de servicios'!B34:E34</f>
        <v>Servicios de comunicación: ganancia esperada</v>
      </c>
      <c r="C8" s="5">
        <f>'Tabla de servicios'!E38</f>
        <v>4000000</v>
      </c>
      <c r="D8" s="7">
        <f>Ventas!O9</f>
        <v>24</v>
      </c>
      <c r="E8" s="10">
        <f>D8*C8</f>
        <v>96000000</v>
      </c>
      <c r="F8" s="34">
        <f>Ventas!O9+Ventas!O16+Ventas!O23</f>
        <v>144</v>
      </c>
      <c r="G8" s="10">
        <f>F8*C8</f>
        <v>576000000</v>
      </c>
    </row>
    <row r="9" spans="1:11" x14ac:dyDescent="0.25">
      <c r="B9" s="41" t="s">
        <v>18</v>
      </c>
      <c r="C9" s="41"/>
      <c r="D9" s="41"/>
      <c r="E9" s="11">
        <f>SUM(E5:E8)</f>
        <v>99600000</v>
      </c>
      <c r="F9" s="31">
        <f>SUM(F5:F8)</f>
        <v>50544</v>
      </c>
      <c r="G9" s="11">
        <f>SUM(G5:G8)</f>
        <v>601200000</v>
      </c>
    </row>
    <row r="10" spans="1:11" x14ac:dyDescent="0.25">
      <c r="F10" s="32"/>
    </row>
  </sheetData>
  <mergeCells count="1">
    <mergeCell ref="B9:D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7A5698-9067-4F89-BB6C-5283D6ED8FE6}"/>
</file>

<file path=customXml/itemProps2.xml><?xml version="1.0" encoding="utf-8"?>
<ds:datastoreItem xmlns:ds="http://schemas.openxmlformats.org/officeDocument/2006/customXml" ds:itemID="{6C38A91E-6C9E-49B6-B788-8A72F2CE282E}"/>
</file>

<file path=customXml/itemProps3.xml><?xml version="1.0" encoding="utf-8"?>
<ds:datastoreItem xmlns:ds="http://schemas.openxmlformats.org/officeDocument/2006/customXml" ds:itemID="{CBE1BA5B-6EF9-4CD7-847E-D43298CCFA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de servicios</vt:lpstr>
      <vt:lpstr>costos</vt:lpstr>
      <vt:lpstr>Ventas</vt:lpstr>
      <vt:lpstr>Aportes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Cortázar</dc:creator>
  <cp:lastModifiedBy>Camilo Osorio</cp:lastModifiedBy>
  <dcterms:created xsi:type="dcterms:W3CDTF">2014-10-10T02:08:05Z</dcterms:created>
  <dcterms:modified xsi:type="dcterms:W3CDTF">2016-01-20T03:50:50Z</dcterms:modified>
</cp:coreProperties>
</file>