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
    </mc:Choice>
  </mc:AlternateContent>
  <bookViews>
    <workbookView xWindow="240" yWindow="75" windowWidth="15120" windowHeight="7995"/>
  </bookViews>
  <sheets>
    <sheet name="Modelo" sheetId="1" r:id="rId1"/>
    <sheet name="Listas" sheetId="2" r:id="rId2"/>
    <sheet name="Tabla de Amortización" sheetId="3" r:id="rId3"/>
    <sheet name="Hoja1" sheetId="4" r:id="rId4"/>
    <sheet name="PREOPERATIVOS" sheetId="6" r:id="rId5"/>
    <sheet name="Hoja2" sheetId="7" r:id="rId6"/>
    <sheet name="NOMINA" sheetId="8" r:id="rId7"/>
  </sheets>
  <externalReferences>
    <externalReference r:id="rId8"/>
  </externalReferences>
  <definedNames>
    <definedName name="amortizacion">Modelo!$B$91</definedName>
    <definedName name="lista_per_amortizacion" localSheetId="2">[1]Listas!$K$2:$K$5</definedName>
    <definedName name="lista_per_amortizacion">Listas!$K$2:$K$5</definedName>
    <definedName name="Lista_periodos" localSheetId="2">[1]Listas!$A$1:$A$10</definedName>
    <definedName name="Lista_periodos">Listas!$A$1:$A$10</definedName>
    <definedName name="lista_plazo" localSheetId="2">[1]Listas!$N$1:$N$10</definedName>
    <definedName name="lista_plazo">Listas!$N$1:$N$10</definedName>
    <definedName name="Lista_tasa_descuento" localSheetId="2">[1]Listas!$D$2:$D$3</definedName>
    <definedName name="Lista_tasa_descuento">Listas!$D$2:$D$3</definedName>
    <definedName name="lista_tipo_amortizacion" localSheetId="2">[1]Listas!$G$2:$G$3</definedName>
    <definedName name="lista_tipo_amortizacion">Listas!$G$2:$G$3</definedName>
    <definedName name="MATRIZ_LISTA_AMORTIZACION" localSheetId="2">[1]Listas!$G$2:$H$3</definedName>
    <definedName name="MATRIZ_LISTA_AMORTIZACION">Listas!$G$2:$H$3</definedName>
    <definedName name="matriz_per_amortizacion" localSheetId="2">[1]Listas!$K$2:$L$5</definedName>
    <definedName name="matriz_per_amortizacion">Listas!$K$2:$L$5</definedName>
    <definedName name="MATRIZ_TASA_DESCUENTO" localSheetId="2">[1]Listas!$D$2:$E$3</definedName>
    <definedName name="MATRIZ_TASA_DESCUENTO">Listas!$D$2:$E$3</definedName>
  </definedNames>
  <calcPr calcId="152511"/>
</workbook>
</file>

<file path=xl/calcChain.xml><?xml version="1.0" encoding="utf-8"?>
<calcChain xmlns="http://schemas.openxmlformats.org/spreadsheetml/2006/main">
  <c r="E36" i="1" l="1"/>
  <c r="P15" i="8" l="1"/>
  <c r="N6" i="8"/>
  <c r="N5" i="8"/>
  <c r="J6" i="8"/>
  <c r="I6" i="8"/>
  <c r="K6" i="8" s="1"/>
  <c r="I7" i="8"/>
  <c r="M7" i="8" s="1"/>
  <c r="I5" i="8"/>
  <c r="K5" i="8" s="1"/>
  <c r="L15" i="8"/>
  <c r="M15" i="8" s="1"/>
  <c r="I2" i="8"/>
  <c r="J2" i="8"/>
  <c r="J7" i="8" l="1"/>
  <c r="O15" i="8"/>
  <c r="E17" i="8"/>
  <c r="F17" i="8" s="1"/>
  <c r="J5" i="8"/>
  <c r="N7" i="8"/>
  <c r="F18" i="8"/>
  <c r="K2" i="8"/>
  <c r="M6" i="8"/>
  <c r="O7" i="8"/>
  <c r="K7" i="8"/>
  <c r="L6" i="8"/>
  <c r="M5" i="8"/>
  <c r="L5" i="8"/>
  <c r="O6" i="8"/>
  <c r="L7" i="8"/>
  <c r="O5" i="8" l="1"/>
  <c r="O12" i="8" s="1"/>
  <c r="O13" i="8" s="1"/>
  <c r="F20" i="8" s="1"/>
  <c r="F14" i="7" l="1"/>
  <c r="E5" i="1"/>
  <c r="E67" i="6" l="1"/>
  <c r="E56" i="6"/>
  <c r="G51" i="6"/>
  <c r="E49" i="6"/>
  <c r="E38" i="6"/>
  <c r="E36" i="6"/>
  <c r="E35" i="6"/>
  <c r="E34" i="6"/>
  <c r="E33" i="6"/>
  <c r="E32" i="6"/>
  <c r="E31" i="6"/>
  <c r="E30" i="6"/>
  <c r="E29" i="6"/>
  <c r="E28" i="6"/>
  <c r="E27" i="6"/>
  <c r="E26" i="6"/>
  <c r="E25" i="6"/>
  <c r="E24" i="6"/>
  <c r="E23" i="6" s="1"/>
  <c r="E20" i="6"/>
  <c r="E17" i="6"/>
  <c r="E16" i="6"/>
  <c r="E15" i="6"/>
  <c r="E14" i="6" s="1"/>
  <c r="E12" i="6"/>
  <c r="E11" i="6"/>
  <c r="E10" i="6"/>
  <c r="E6" i="6"/>
  <c r="X266" i="1"/>
  <c r="W266" i="1"/>
  <c r="V266" i="1"/>
  <c r="U266" i="1"/>
  <c r="T266" i="1"/>
  <c r="S266" i="1"/>
  <c r="R266" i="1"/>
  <c r="Q266" i="1"/>
  <c r="P266" i="1"/>
  <c r="O266" i="1"/>
  <c r="O214" i="1"/>
  <c r="P214" i="1"/>
  <c r="Q214" i="1"/>
  <c r="R214" i="1"/>
  <c r="S214" i="1"/>
  <c r="T214" i="1"/>
  <c r="U214" i="1"/>
  <c r="V214" i="1"/>
  <c r="W214" i="1"/>
  <c r="X214" i="1"/>
  <c r="Y214" i="1"/>
  <c r="O158" i="1"/>
  <c r="P158" i="1"/>
  <c r="Q158" i="1"/>
  <c r="B3" i="3"/>
  <c r="D266" i="1"/>
  <c r="G21" i="4"/>
  <c r="G20" i="4"/>
  <c r="G19" i="4"/>
  <c r="G18" i="4"/>
  <c r="G17" i="4"/>
  <c r="E72" i="6" l="1"/>
  <c r="F23" i="6"/>
  <c r="E46" i="6"/>
  <c r="E74" i="6" s="1"/>
  <c r="F49" i="6"/>
  <c r="G23" i="6" l="1"/>
  <c r="F24" i="6"/>
  <c r="G37" i="6" s="1"/>
  <c r="M31" i="3" l="1"/>
  <c r="N31" i="3" s="1"/>
  <c r="B9" i="3"/>
  <c r="B8" i="3"/>
  <c r="C8" i="3" s="1"/>
  <c r="B5" i="3"/>
  <c r="B7" i="3" s="1"/>
  <c r="H77" i="3" s="1"/>
  <c r="C17" i="3"/>
  <c r="F291" i="1"/>
  <c r="X290" i="1"/>
  <c r="X291" i="1" s="1"/>
  <c r="W290" i="1"/>
  <c r="W291" i="1" s="1"/>
  <c r="V290" i="1"/>
  <c r="V291" i="1" s="1"/>
  <c r="U290" i="1"/>
  <c r="U291" i="1" s="1"/>
  <c r="T290" i="1"/>
  <c r="T291" i="1" s="1"/>
  <c r="S290" i="1"/>
  <c r="S291" i="1" s="1"/>
  <c r="R290" i="1"/>
  <c r="R291" i="1" s="1"/>
  <c r="Q290" i="1"/>
  <c r="Q291" i="1" s="1"/>
  <c r="P290" i="1"/>
  <c r="P291" i="1" s="1"/>
  <c r="O290" i="1"/>
  <c r="O291" i="1" s="1"/>
  <c r="N290" i="1"/>
  <c r="N291" i="1" s="1"/>
  <c r="M290" i="1"/>
  <c r="M291" i="1" s="1"/>
  <c r="L290" i="1"/>
  <c r="L291" i="1" s="1"/>
  <c r="K290" i="1"/>
  <c r="K291" i="1" s="1"/>
  <c r="J290" i="1"/>
  <c r="J291" i="1" s="1"/>
  <c r="I290" i="1"/>
  <c r="I291" i="1" s="1"/>
  <c r="H290" i="1"/>
  <c r="H291" i="1" s="1"/>
  <c r="G290" i="1"/>
  <c r="G291" i="1" s="1"/>
  <c r="F290" i="1"/>
  <c r="E290" i="1"/>
  <c r="E291" i="1" s="1"/>
  <c r="J289" i="1"/>
  <c r="X288" i="1"/>
  <c r="X289" i="1" s="1"/>
  <c r="W288" i="1"/>
  <c r="W289" i="1" s="1"/>
  <c r="V288" i="1"/>
  <c r="V289" i="1" s="1"/>
  <c r="U288" i="1"/>
  <c r="U289" i="1" s="1"/>
  <c r="T288" i="1"/>
  <c r="T289" i="1" s="1"/>
  <c r="S288" i="1"/>
  <c r="S289" i="1" s="1"/>
  <c r="R288" i="1"/>
  <c r="R289" i="1" s="1"/>
  <c r="Q288" i="1"/>
  <c r="Q289" i="1" s="1"/>
  <c r="P288" i="1"/>
  <c r="P289" i="1" s="1"/>
  <c r="O288" i="1"/>
  <c r="O289" i="1" s="1"/>
  <c r="N288" i="1"/>
  <c r="N289" i="1" s="1"/>
  <c r="M288" i="1"/>
  <c r="M289" i="1" s="1"/>
  <c r="L288" i="1"/>
  <c r="L289" i="1" s="1"/>
  <c r="K288" i="1"/>
  <c r="K289" i="1" s="1"/>
  <c r="J288" i="1"/>
  <c r="I288" i="1"/>
  <c r="I289" i="1" s="1"/>
  <c r="H288" i="1"/>
  <c r="H289" i="1" s="1"/>
  <c r="G288" i="1"/>
  <c r="G289" i="1" s="1"/>
  <c r="F288" i="1"/>
  <c r="F289" i="1" s="1"/>
  <c r="E288" i="1"/>
  <c r="E289" i="1" s="1"/>
  <c r="W264" i="1"/>
  <c r="S264" i="1"/>
  <c r="Q264" i="1"/>
  <c r="O264" i="1"/>
  <c r="V264" i="1"/>
  <c r="U264" i="1"/>
  <c r="R264" i="1"/>
  <c r="D257" i="1"/>
  <c r="D247" i="1"/>
  <c r="D243" i="1"/>
  <c r="B243" i="1"/>
  <c r="D242" i="1"/>
  <c r="B242" i="1"/>
  <c r="D241" i="1"/>
  <c r="B241" i="1"/>
  <c r="D240" i="1"/>
  <c r="B240" i="1"/>
  <c r="D239" i="1"/>
  <c r="B239" i="1"/>
  <c r="D238" i="1"/>
  <c r="B238" i="1"/>
  <c r="D237" i="1"/>
  <c r="B237" i="1"/>
  <c r="D231" i="1"/>
  <c r="D229" i="1" s="1"/>
  <c r="E221" i="1"/>
  <c r="X158" i="1"/>
  <c r="X213" i="1" s="1"/>
  <c r="W158" i="1"/>
  <c r="W213" i="1" s="1"/>
  <c r="V158" i="1"/>
  <c r="V213" i="1" s="1"/>
  <c r="U158" i="1"/>
  <c r="U213" i="1" s="1"/>
  <c r="T158" i="1"/>
  <c r="T213" i="1" s="1"/>
  <c r="S158" i="1"/>
  <c r="S213" i="1" s="1"/>
  <c r="R158" i="1"/>
  <c r="R213" i="1" s="1"/>
  <c r="Q213" i="1"/>
  <c r="P213" i="1"/>
  <c r="O213" i="1"/>
  <c r="X157" i="1"/>
  <c r="U157" i="1"/>
  <c r="T157" i="1"/>
  <c r="Q157" i="1"/>
  <c r="P157" i="1"/>
  <c r="O157" i="1"/>
  <c r="E140" i="1"/>
  <c r="E61" i="1" s="1"/>
  <c r="D131" i="1"/>
  <c r="D252" i="1" s="1"/>
  <c r="D250" i="1" s="1"/>
  <c r="C129" i="1"/>
  <c r="X129" i="1" s="1"/>
  <c r="C128" i="1"/>
  <c r="X128" i="1" s="1"/>
  <c r="X125" i="1"/>
  <c r="X155" i="1" s="1"/>
  <c r="X154" i="1" s="1"/>
  <c r="W125" i="1"/>
  <c r="W155" i="1" s="1"/>
  <c r="W154" i="1" s="1"/>
  <c r="V125" i="1"/>
  <c r="V155" i="1" s="1"/>
  <c r="V154" i="1" s="1"/>
  <c r="U125" i="1"/>
  <c r="U155" i="1" s="1"/>
  <c r="U154" i="1" s="1"/>
  <c r="T125" i="1"/>
  <c r="T155" i="1" s="1"/>
  <c r="T154" i="1" s="1"/>
  <c r="S125" i="1"/>
  <c r="S155" i="1" s="1"/>
  <c r="S154" i="1" s="1"/>
  <c r="R125" i="1"/>
  <c r="R155" i="1" s="1"/>
  <c r="R154" i="1" s="1"/>
  <c r="Q125" i="1"/>
  <c r="Q155" i="1" s="1"/>
  <c r="Q154" i="1" s="1"/>
  <c r="P125" i="1"/>
  <c r="P155" i="1" s="1"/>
  <c r="P154" i="1" s="1"/>
  <c r="G125" i="1"/>
  <c r="G155" i="1" s="1"/>
  <c r="G154" i="1" s="1"/>
  <c r="F125" i="1"/>
  <c r="F155" i="1" s="1"/>
  <c r="F154" i="1" s="1"/>
  <c r="E125" i="1"/>
  <c r="E155" i="1" s="1"/>
  <c r="E154" i="1" s="1"/>
  <c r="X124" i="1"/>
  <c r="X175" i="1" s="1"/>
  <c r="W124" i="1"/>
  <c r="W175" i="1" s="1"/>
  <c r="V124" i="1"/>
  <c r="V175" i="1" s="1"/>
  <c r="U124" i="1"/>
  <c r="U175" i="1" s="1"/>
  <c r="T124" i="1"/>
  <c r="T175" i="1" s="1"/>
  <c r="S124" i="1"/>
  <c r="S175" i="1" s="1"/>
  <c r="R124" i="1"/>
  <c r="R175" i="1" s="1"/>
  <c r="Q124" i="1"/>
  <c r="Q175" i="1" s="1"/>
  <c r="P124" i="1"/>
  <c r="P175" i="1" s="1"/>
  <c r="O124" i="1"/>
  <c r="O175" i="1" s="1"/>
  <c r="N124" i="1"/>
  <c r="N175" i="1" s="1"/>
  <c r="M124" i="1"/>
  <c r="M175" i="1" s="1"/>
  <c r="L124" i="1"/>
  <c r="L175" i="1" s="1"/>
  <c r="K124" i="1"/>
  <c r="K175" i="1" s="1"/>
  <c r="I124" i="1"/>
  <c r="I175" i="1" s="1"/>
  <c r="H124" i="1"/>
  <c r="H125" i="1" s="1"/>
  <c r="H155" i="1" s="1"/>
  <c r="H154" i="1" s="1"/>
  <c r="G124" i="1"/>
  <c r="G175" i="1" s="1"/>
  <c r="F124" i="1"/>
  <c r="F175" i="1" s="1"/>
  <c r="E124" i="1"/>
  <c r="E175" i="1" s="1"/>
  <c r="D122" i="1"/>
  <c r="D175" i="1" s="1"/>
  <c r="X120" i="1"/>
  <c r="W120" i="1"/>
  <c r="V120" i="1"/>
  <c r="U120" i="1"/>
  <c r="T120" i="1"/>
  <c r="S120" i="1"/>
  <c r="R120" i="1"/>
  <c r="Q120" i="1"/>
  <c r="P120" i="1"/>
  <c r="O120" i="1"/>
  <c r="N120" i="1"/>
  <c r="M120" i="1"/>
  <c r="L120" i="1"/>
  <c r="K120" i="1"/>
  <c r="J120" i="1"/>
  <c r="I120" i="1"/>
  <c r="H120" i="1"/>
  <c r="G120" i="1"/>
  <c r="F120" i="1"/>
  <c r="E120" i="1"/>
  <c r="X119" i="1"/>
  <c r="W119" i="1"/>
  <c r="V119" i="1"/>
  <c r="U119" i="1"/>
  <c r="T119" i="1"/>
  <c r="S119" i="1"/>
  <c r="R119" i="1"/>
  <c r="Q119" i="1"/>
  <c r="P119" i="1"/>
  <c r="O119" i="1"/>
  <c r="N119" i="1"/>
  <c r="M119" i="1"/>
  <c r="L119" i="1"/>
  <c r="K119" i="1"/>
  <c r="J119" i="1"/>
  <c r="I119" i="1"/>
  <c r="H119" i="1"/>
  <c r="G119" i="1"/>
  <c r="F119" i="1"/>
  <c r="E119" i="1"/>
  <c r="X118" i="1"/>
  <c r="W118" i="1"/>
  <c r="V118" i="1"/>
  <c r="U118" i="1"/>
  <c r="T118" i="1"/>
  <c r="S118" i="1"/>
  <c r="R118" i="1"/>
  <c r="Q118" i="1"/>
  <c r="P118" i="1"/>
  <c r="O118" i="1"/>
  <c r="N118" i="1"/>
  <c r="M118" i="1"/>
  <c r="L118" i="1"/>
  <c r="K118" i="1"/>
  <c r="J118" i="1"/>
  <c r="I118" i="1"/>
  <c r="H118" i="1"/>
  <c r="G118" i="1"/>
  <c r="F118" i="1"/>
  <c r="E118" i="1"/>
  <c r="X117" i="1"/>
  <c r="W117" i="1"/>
  <c r="V117" i="1"/>
  <c r="U117" i="1"/>
  <c r="T117" i="1"/>
  <c r="S117" i="1"/>
  <c r="R117" i="1"/>
  <c r="Q117" i="1"/>
  <c r="P117" i="1"/>
  <c r="O117" i="1"/>
  <c r="N117" i="1"/>
  <c r="M117" i="1"/>
  <c r="L117" i="1"/>
  <c r="K117" i="1"/>
  <c r="J117" i="1"/>
  <c r="I117" i="1"/>
  <c r="H117" i="1"/>
  <c r="G117" i="1"/>
  <c r="F117" i="1"/>
  <c r="E117" i="1"/>
  <c r="X116" i="1"/>
  <c r="W116" i="1"/>
  <c r="V116" i="1"/>
  <c r="U116" i="1"/>
  <c r="T116" i="1"/>
  <c r="S116" i="1"/>
  <c r="R116" i="1"/>
  <c r="Q116" i="1"/>
  <c r="P116" i="1"/>
  <c r="O116" i="1"/>
  <c r="N116" i="1"/>
  <c r="M116" i="1"/>
  <c r="L116" i="1"/>
  <c r="K116" i="1"/>
  <c r="J116" i="1"/>
  <c r="I116" i="1"/>
  <c r="H116" i="1"/>
  <c r="G116" i="1"/>
  <c r="F116" i="1"/>
  <c r="E116" i="1"/>
  <c r="X115" i="1"/>
  <c r="W115" i="1"/>
  <c r="V115" i="1"/>
  <c r="U115" i="1"/>
  <c r="T115" i="1"/>
  <c r="S115" i="1"/>
  <c r="R115" i="1"/>
  <c r="Q115" i="1"/>
  <c r="P115" i="1"/>
  <c r="O115" i="1"/>
  <c r="N115" i="1"/>
  <c r="M115" i="1"/>
  <c r="L115" i="1"/>
  <c r="K115" i="1"/>
  <c r="J115" i="1"/>
  <c r="I115" i="1"/>
  <c r="H115" i="1"/>
  <c r="G115" i="1"/>
  <c r="F115" i="1"/>
  <c r="E115" i="1"/>
  <c r="X114" i="1"/>
  <c r="X104" i="1" s="1"/>
  <c r="W114" i="1"/>
  <c r="W104" i="1" s="1"/>
  <c r="V114" i="1"/>
  <c r="V104" i="1" s="1"/>
  <c r="U114" i="1"/>
  <c r="U104" i="1" s="1"/>
  <c r="T114" i="1"/>
  <c r="T104" i="1" s="1"/>
  <c r="S114" i="1"/>
  <c r="S104" i="1" s="1"/>
  <c r="R114" i="1"/>
  <c r="R104" i="1" s="1"/>
  <c r="Q114" i="1"/>
  <c r="Q104" i="1" s="1"/>
  <c r="P114" i="1"/>
  <c r="P104" i="1" s="1"/>
  <c r="O114" i="1"/>
  <c r="O104" i="1" s="1"/>
  <c r="N114" i="1"/>
  <c r="N104" i="1" s="1"/>
  <c r="M114" i="1"/>
  <c r="M104" i="1" s="1"/>
  <c r="L114" i="1"/>
  <c r="L104" i="1" s="1"/>
  <c r="K114" i="1"/>
  <c r="K104" i="1" s="1"/>
  <c r="J114" i="1"/>
  <c r="I114" i="1"/>
  <c r="H114" i="1"/>
  <c r="G114" i="1"/>
  <c r="F114" i="1"/>
  <c r="F104" i="1" s="1"/>
  <c r="E114" i="1"/>
  <c r="E104" i="1" s="1"/>
  <c r="A91" i="1"/>
  <c r="D83" i="1"/>
  <c r="E77" i="1"/>
  <c r="F77" i="1" s="1"/>
  <c r="G77" i="1" s="1"/>
  <c r="E76" i="1"/>
  <c r="F76" i="1" s="1"/>
  <c r="F75" i="1"/>
  <c r="G75" i="1" s="1"/>
  <c r="H75" i="1" s="1"/>
  <c r="E75" i="1"/>
  <c r="E72" i="1"/>
  <c r="F72" i="1" s="1"/>
  <c r="G72" i="1" s="1"/>
  <c r="H72" i="1" s="1"/>
  <c r="I72" i="1" s="1"/>
  <c r="J72" i="1" s="1"/>
  <c r="K72" i="1" s="1"/>
  <c r="L72" i="1" s="1"/>
  <c r="M72" i="1" s="1"/>
  <c r="N72" i="1" s="1"/>
  <c r="O72" i="1" s="1"/>
  <c r="P72" i="1" s="1"/>
  <c r="Q72" i="1" s="1"/>
  <c r="R72" i="1" s="1"/>
  <c r="S72" i="1" s="1"/>
  <c r="T72" i="1" s="1"/>
  <c r="U72" i="1" s="1"/>
  <c r="V72" i="1" s="1"/>
  <c r="W72" i="1" s="1"/>
  <c r="X72" i="1" s="1"/>
  <c r="A70" i="1"/>
  <c r="E45" i="1"/>
  <c r="E46" i="1" s="1"/>
  <c r="E142" i="1"/>
  <c r="F26" i="1"/>
  <c r="G26" i="1" s="1"/>
  <c r="H26" i="1" s="1"/>
  <c r="I26" i="1" s="1"/>
  <c r="J26" i="1" s="1"/>
  <c r="X2" i="1"/>
  <c r="W2" i="1"/>
  <c r="V2" i="1"/>
  <c r="U2" i="1"/>
  <c r="T2" i="1"/>
  <c r="S2" i="1"/>
  <c r="R2" i="1"/>
  <c r="Q2" i="1"/>
  <c r="P2" i="1"/>
  <c r="O2" i="1"/>
  <c r="N2" i="1"/>
  <c r="M2" i="1"/>
  <c r="L2" i="1"/>
  <c r="K2" i="1"/>
  <c r="J2" i="1"/>
  <c r="I2" i="1"/>
  <c r="H2" i="1"/>
  <c r="G2" i="1"/>
  <c r="F2" i="1"/>
  <c r="F38" i="1" s="1"/>
  <c r="E2" i="1"/>
  <c r="E247" i="1" s="1"/>
  <c r="R157" i="1" l="1"/>
  <c r="V157" i="1"/>
  <c r="S157" i="1"/>
  <c r="W157" i="1"/>
  <c r="I125" i="1"/>
  <c r="I155" i="1" s="1"/>
  <c r="I154" i="1" s="1"/>
  <c r="K125" i="1"/>
  <c r="K155" i="1" s="1"/>
  <c r="K154" i="1" s="1"/>
  <c r="M125" i="1"/>
  <c r="M155" i="1" s="1"/>
  <c r="M154" i="1" s="1"/>
  <c r="D176" i="1"/>
  <c r="D178" i="1" s="1"/>
  <c r="D181" i="1" s="1"/>
  <c r="D183" i="1" s="1"/>
  <c r="I104" i="1"/>
  <c r="G104" i="1"/>
  <c r="H104" i="1"/>
  <c r="E144" i="1"/>
  <c r="E300" i="1" s="1"/>
  <c r="L125" i="1"/>
  <c r="L155" i="1" s="1"/>
  <c r="L154" i="1" s="1"/>
  <c r="N125" i="1"/>
  <c r="N155" i="1" s="1"/>
  <c r="N154" i="1" s="1"/>
  <c r="G128" i="1"/>
  <c r="O125" i="1"/>
  <c r="O155" i="1" s="1"/>
  <c r="O154" i="1" s="1"/>
  <c r="K128" i="1"/>
  <c r="F34" i="1"/>
  <c r="G34" i="1" s="1"/>
  <c r="H34" i="1" s="1"/>
  <c r="H128" i="1"/>
  <c r="F247" i="1"/>
  <c r="G247" i="1" s="1"/>
  <c r="H247" i="1" s="1"/>
  <c r="I247" i="1" s="1"/>
  <c r="J247" i="1" s="1"/>
  <c r="K247" i="1" s="1"/>
  <c r="L247" i="1" s="1"/>
  <c r="M247" i="1" s="1"/>
  <c r="N247" i="1" s="1"/>
  <c r="O247" i="1" s="1"/>
  <c r="P247" i="1" s="1"/>
  <c r="Q247" i="1" s="1"/>
  <c r="R247" i="1" s="1"/>
  <c r="S247" i="1" s="1"/>
  <c r="T247" i="1" s="1"/>
  <c r="U247" i="1" s="1"/>
  <c r="V247" i="1" s="1"/>
  <c r="W247" i="1" s="1"/>
  <c r="X247" i="1" s="1"/>
  <c r="W128" i="1"/>
  <c r="F101" i="1"/>
  <c r="G101" i="1" s="1"/>
  <c r="H101" i="1" s="1"/>
  <c r="I101" i="1" s="1"/>
  <c r="J101" i="1" s="1"/>
  <c r="K101" i="1" s="1"/>
  <c r="L101" i="1" s="1"/>
  <c r="M101" i="1" s="1"/>
  <c r="N101" i="1" s="1"/>
  <c r="O101" i="1" s="1"/>
  <c r="P101" i="1" s="1"/>
  <c r="Q101" i="1" s="1"/>
  <c r="R101" i="1" s="1"/>
  <c r="S101" i="1" s="1"/>
  <c r="T101" i="1" s="1"/>
  <c r="U101" i="1" s="1"/>
  <c r="V101" i="1" s="1"/>
  <c r="W101" i="1" s="1"/>
  <c r="X101" i="1" s="1"/>
  <c r="S128" i="1"/>
  <c r="F98" i="1"/>
  <c r="G98" i="1" s="1"/>
  <c r="H98" i="1" s="1"/>
  <c r="I98" i="1" s="1"/>
  <c r="J98" i="1" s="1"/>
  <c r="K98" i="1" s="1"/>
  <c r="L98" i="1" s="1"/>
  <c r="M98" i="1" s="1"/>
  <c r="N98" i="1" s="1"/>
  <c r="O98" i="1" s="1"/>
  <c r="P98" i="1" s="1"/>
  <c r="Q98" i="1" s="1"/>
  <c r="R98" i="1" s="1"/>
  <c r="S98" i="1" s="1"/>
  <c r="T98" i="1" s="1"/>
  <c r="U98" i="1" s="1"/>
  <c r="V98" i="1" s="1"/>
  <c r="W98" i="1" s="1"/>
  <c r="X98" i="1" s="1"/>
  <c r="F103" i="1"/>
  <c r="G103" i="1" s="1"/>
  <c r="H103" i="1" s="1"/>
  <c r="I103" i="1" s="1"/>
  <c r="J103" i="1" s="1"/>
  <c r="K103" i="1" s="1"/>
  <c r="L103" i="1" s="1"/>
  <c r="M103" i="1" s="1"/>
  <c r="N103" i="1" s="1"/>
  <c r="O103" i="1" s="1"/>
  <c r="P103" i="1" s="1"/>
  <c r="Q103" i="1" s="1"/>
  <c r="R103" i="1" s="1"/>
  <c r="S103" i="1" s="1"/>
  <c r="T103" i="1" s="1"/>
  <c r="U103" i="1" s="1"/>
  <c r="V103" i="1" s="1"/>
  <c r="W103" i="1" s="1"/>
  <c r="X103" i="1" s="1"/>
  <c r="F99" i="1"/>
  <c r="G99" i="1" s="1"/>
  <c r="H99" i="1" s="1"/>
  <c r="I99" i="1" s="1"/>
  <c r="J99" i="1" s="1"/>
  <c r="K99" i="1" s="1"/>
  <c r="L99" i="1" s="1"/>
  <c r="M99" i="1" s="1"/>
  <c r="N99" i="1" s="1"/>
  <c r="O99" i="1" s="1"/>
  <c r="P99" i="1" s="1"/>
  <c r="Q99" i="1" s="1"/>
  <c r="R99" i="1" s="1"/>
  <c r="S99" i="1" s="1"/>
  <c r="T99" i="1" s="1"/>
  <c r="U99" i="1" s="1"/>
  <c r="V99" i="1" s="1"/>
  <c r="W99" i="1" s="1"/>
  <c r="X99" i="1" s="1"/>
  <c r="F102" i="1"/>
  <c r="G102" i="1" s="1"/>
  <c r="H102" i="1" s="1"/>
  <c r="I102" i="1" s="1"/>
  <c r="J102" i="1" s="1"/>
  <c r="K102" i="1" s="1"/>
  <c r="L102" i="1" s="1"/>
  <c r="M102" i="1" s="1"/>
  <c r="N102" i="1" s="1"/>
  <c r="O102" i="1" s="1"/>
  <c r="P102" i="1" s="1"/>
  <c r="Q102" i="1" s="1"/>
  <c r="R102" i="1" s="1"/>
  <c r="S102" i="1" s="1"/>
  <c r="T102" i="1" s="1"/>
  <c r="U102" i="1" s="1"/>
  <c r="V102" i="1" s="1"/>
  <c r="W102" i="1" s="1"/>
  <c r="X102" i="1" s="1"/>
  <c r="P128" i="1"/>
  <c r="H27" i="3"/>
  <c r="H28" i="3"/>
  <c r="H51" i="3"/>
  <c r="B10" i="3"/>
  <c r="B11" i="3" s="1"/>
  <c r="D20" i="3" s="1"/>
  <c r="O29" i="3" s="1"/>
  <c r="H30" i="3"/>
  <c r="H60" i="3"/>
  <c r="H26" i="3"/>
  <c r="H69" i="3"/>
  <c r="H18" i="3"/>
  <c r="H29" i="3"/>
  <c r="H44" i="3"/>
  <c r="H136" i="3"/>
  <c r="H134" i="3"/>
  <c r="H132" i="3"/>
  <c r="H130" i="3"/>
  <c r="H128" i="3"/>
  <c r="H133" i="3"/>
  <c r="H129" i="3"/>
  <c r="H122" i="3"/>
  <c r="H121" i="3"/>
  <c r="H114" i="3"/>
  <c r="H113" i="3"/>
  <c r="H106" i="3"/>
  <c r="H105" i="3"/>
  <c r="H98" i="3"/>
  <c r="H97" i="3"/>
  <c r="H90" i="3"/>
  <c r="H89" i="3"/>
  <c r="H82" i="3"/>
  <c r="H81" i="3"/>
  <c r="H78" i="3"/>
  <c r="H76" i="3"/>
  <c r="H74" i="3"/>
  <c r="H72" i="3"/>
  <c r="H70" i="3"/>
  <c r="H68" i="3"/>
  <c r="H66" i="3"/>
  <c r="H64" i="3"/>
  <c r="H120" i="3"/>
  <c r="H119" i="3"/>
  <c r="H112" i="3"/>
  <c r="H111" i="3"/>
  <c r="H104" i="3"/>
  <c r="H103" i="3"/>
  <c r="H96" i="3"/>
  <c r="H95" i="3"/>
  <c r="H88" i="3"/>
  <c r="H87" i="3"/>
  <c r="H80" i="3"/>
  <c r="H135" i="3"/>
  <c r="H127" i="3"/>
  <c r="H125" i="3"/>
  <c r="H118" i="3"/>
  <c r="H109" i="3"/>
  <c r="H102" i="3"/>
  <c r="H93" i="3"/>
  <c r="H86" i="3"/>
  <c r="H79" i="3"/>
  <c r="H75" i="3"/>
  <c r="H71" i="3"/>
  <c r="H67" i="3"/>
  <c r="H63" i="3"/>
  <c r="H56" i="3"/>
  <c r="H55" i="3"/>
  <c r="H48" i="3"/>
  <c r="H47" i="3"/>
  <c r="H31" i="3"/>
  <c r="H25" i="3"/>
  <c r="H23" i="3"/>
  <c r="H22" i="3"/>
  <c r="H21" i="3"/>
  <c r="H20" i="3"/>
  <c r="H19" i="3"/>
  <c r="H17" i="3"/>
  <c r="H123" i="3"/>
  <c r="H116" i="3"/>
  <c r="H107" i="3"/>
  <c r="H100" i="3"/>
  <c r="H91" i="3"/>
  <c r="H84" i="3"/>
  <c r="H62" i="3"/>
  <c r="H61" i="3"/>
  <c r="H54" i="3"/>
  <c r="H53" i="3"/>
  <c r="H46" i="3"/>
  <c r="H45" i="3"/>
  <c r="H40" i="3"/>
  <c r="H38" i="3"/>
  <c r="H32" i="3"/>
  <c r="H131" i="3"/>
  <c r="H126" i="3"/>
  <c r="H117" i="3"/>
  <c r="H110" i="3"/>
  <c r="H101" i="3"/>
  <c r="H94" i="3"/>
  <c r="H33" i="3"/>
  <c r="H34" i="3"/>
  <c r="H35" i="3"/>
  <c r="H36" i="3"/>
  <c r="H37" i="3"/>
  <c r="H41" i="3"/>
  <c r="H42" i="3"/>
  <c r="H43" i="3"/>
  <c r="H50" i="3"/>
  <c r="H57" i="3"/>
  <c r="H92" i="3"/>
  <c r="H99" i="3"/>
  <c r="H24" i="3"/>
  <c r="H52" i="3"/>
  <c r="H59" i="3"/>
  <c r="H65" i="3"/>
  <c r="H73" i="3"/>
  <c r="H85" i="3"/>
  <c r="H108" i="3"/>
  <c r="H115" i="3"/>
  <c r="O31" i="3"/>
  <c r="D40" i="3"/>
  <c r="H39" i="3"/>
  <c r="H49" i="3"/>
  <c r="H58" i="3"/>
  <c r="H83" i="3"/>
  <c r="H124" i="3"/>
  <c r="I129" i="1"/>
  <c r="N129" i="1"/>
  <c r="S129" i="1"/>
  <c r="H175" i="1"/>
  <c r="E129" i="1"/>
  <c r="J129" i="1"/>
  <c r="O129" i="1"/>
  <c r="U129" i="1"/>
  <c r="F129" i="1"/>
  <c r="K129" i="1"/>
  <c r="Q129" i="1"/>
  <c r="V129" i="1"/>
  <c r="F97" i="1"/>
  <c r="G97" i="1" s="1"/>
  <c r="H97" i="1" s="1"/>
  <c r="I97" i="1" s="1"/>
  <c r="F100" i="1"/>
  <c r="G100" i="1" s="1"/>
  <c r="H100" i="1" s="1"/>
  <c r="I100" i="1" s="1"/>
  <c r="J100" i="1" s="1"/>
  <c r="K100" i="1" s="1"/>
  <c r="L100" i="1" s="1"/>
  <c r="M100" i="1" s="1"/>
  <c r="N100" i="1" s="1"/>
  <c r="O100" i="1" s="1"/>
  <c r="P100" i="1" s="1"/>
  <c r="Q100" i="1" s="1"/>
  <c r="R100" i="1" s="1"/>
  <c r="S100" i="1" s="1"/>
  <c r="T100" i="1" s="1"/>
  <c r="U100" i="1" s="1"/>
  <c r="V100" i="1" s="1"/>
  <c r="W100" i="1" s="1"/>
  <c r="X100" i="1" s="1"/>
  <c r="X147" i="1"/>
  <c r="O128" i="1"/>
  <c r="G129" i="1"/>
  <c r="M129" i="1"/>
  <c r="R129" i="1"/>
  <c r="W129" i="1"/>
  <c r="J124" i="1"/>
  <c r="K26" i="1"/>
  <c r="L26" i="1" s="1"/>
  <c r="M26" i="1" s="1"/>
  <c r="N26" i="1" s="1"/>
  <c r="O26" i="1" s="1"/>
  <c r="P26" i="1" s="1"/>
  <c r="Q26" i="1" s="1"/>
  <c r="R26" i="1" s="1"/>
  <c r="S26" i="1" s="1"/>
  <c r="T26" i="1" s="1"/>
  <c r="U26" i="1" s="1"/>
  <c r="V26" i="1" s="1"/>
  <c r="W26" i="1" s="1"/>
  <c r="X26" i="1" s="1"/>
  <c r="H77" i="1"/>
  <c r="G38" i="1"/>
  <c r="E63" i="1"/>
  <c r="E259" i="1" s="1"/>
  <c r="E62" i="1"/>
  <c r="E233" i="1" s="1"/>
  <c r="E107" i="1"/>
  <c r="E146" i="1" s="1"/>
  <c r="G76" i="1"/>
  <c r="J104" i="1"/>
  <c r="V128" i="1"/>
  <c r="R128" i="1"/>
  <c r="N128" i="1"/>
  <c r="J128" i="1"/>
  <c r="F128" i="1"/>
  <c r="U128" i="1"/>
  <c r="Q128" i="1"/>
  <c r="M128" i="1"/>
  <c r="I128" i="1"/>
  <c r="E128" i="1"/>
  <c r="L128" i="1"/>
  <c r="T128" i="1"/>
  <c r="D245" i="1"/>
  <c r="F42" i="1"/>
  <c r="G42" i="1" s="1"/>
  <c r="H42" i="1" s="1"/>
  <c r="I42" i="1" s="1"/>
  <c r="J42" i="1" s="1"/>
  <c r="K42" i="1" s="1"/>
  <c r="L42" i="1" s="1"/>
  <c r="M42" i="1" s="1"/>
  <c r="N42" i="1" s="1"/>
  <c r="O42" i="1" s="1"/>
  <c r="P42" i="1" s="1"/>
  <c r="Q42" i="1" s="1"/>
  <c r="R42" i="1" s="1"/>
  <c r="S42" i="1" s="1"/>
  <c r="T42" i="1" s="1"/>
  <c r="U42" i="1" s="1"/>
  <c r="V42" i="1" s="1"/>
  <c r="W42" i="1" s="1"/>
  <c r="X42" i="1" s="1"/>
  <c r="I75" i="1"/>
  <c r="E238" i="1"/>
  <c r="F238" i="1" s="1"/>
  <c r="G238" i="1" s="1"/>
  <c r="H238" i="1" s="1"/>
  <c r="I238" i="1" s="1"/>
  <c r="J238" i="1" s="1"/>
  <c r="K238" i="1" s="1"/>
  <c r="L238" i="1" s="1"/>
  <c r="M238" i="1" s="1"/>
  <c r="N238" i="1" s="1"/>
  <c r="O238" i="1" s="1"/>
  <c r="P238" i="1" s="1"/>
  <c r="Q238" i="1" s="1"/>
  <c r="R238" i="1" s="1"/>
  <c r="S238" i="1" s="1"/>
  <c r="T238" i="1" s="1"/>
  <c r="U238" i="1" s="1"/>
  <c r="V238" i="1" s="1"/>
  <c r="W238" i="1" s="1"/>
  <c r="X238" i="1" s="1"/>
  <c r="E240" i="1"/>
  <c r="F240" i="1" s="1"/>
  <c r="G240" i="1" s="1"/>
  <c r="H240" i="1" s="1"/>
  <c r="I240" i="1" s="1"/>
  <c r="J240" i="1" s="1"/>
  <c r="K240" i="1" s="1"/>
  <c r="L240" i="1" s="1"/>
  <c r="M240" i="1" s="1"/>
  <c r="N240" i="1" s="1"/>
  <c r="O240" i="1" s="1"/>
  <c r="P240" i="1" s="1"/>
  <c r="Q240" i="1" s="1"/>
  <c r="R240" i="1" s="1"/>
  <c r="S240" i="1" s="1"/>
  <c r="T240" i="1" s="1"/>
  <c r="U240" i="1" s="1"/>
  <c r="V240" i="1" s="1"/>
  <c r="W240" i="1" s="1"/>
  <c r="X240" i="1" s="1"/>
  <c r="E242" i="1"/>
  <c r="F242" i="1" s="1"/>
  <c r="G242" i="1" s="1"/>
  <c r="H242" i="1" s="1"/>
  <c r="I242" i="1" s="1"/>
  <c r="J242" i="1" s="1"/>
  <c r="K242" i="1" s="1"/>
  <c r="L242" i="1" s="1"/>
  <c r="M242" i="1" s="1"/>
  <c r="N242" i="1" s="1"/>
  <c r="O242" i="1" s="1"/>
  <c r="P242" i="1" s="1"/>
  <c r="Q242" i="1" s="1"/>
  <c r="R242" i="1" s="1"/>
  <c r="S242" i="1" s="1"/>
  <c r="T242" i="1" s="1"/>
  <c r="U242" i="1" s="1"/>
  <c r="V242" i="1" s="1"/>
  <c r="W242" i="1" s="1"/>
  <c r="X242" i="1" s="1"/>
  <c r="E237" i="1"/>
  <c r="E239" i="1"/>
  <c r="F239" i="1" s="1"/>
  <c r="G239" i="1" s="1"/>
  <c r="H239" i="1" s="1"/>
  <c r="I239" i="1" s="1"/>
  <c r="J239" i="1" s="1"/>
  <c r="K239" i="1" s="1"/>
  <c r="L239" i="1" s="1"/>
  <c r="M239" i="1" s="1"/>
  <c r="N239" i="1" s="1"/>
  <c r="O239" i="1" s="1"/>
  <c r="P239" i="1" s="1"/>
  <c r="Q239" i="1" s="1"/>
  <c r="R239" i="1" s="1"/>
  <c r="S239" i="1" s="1"/>
  <c r="T239" i="1" s="1"/>
  <c r="U239" i="1" s="1"/>
  <c r="V239" i="1" s="1"/>
  <c r="W239" i="1" s="1"/>
  <c r="X239" i="1" s="1"/>
  <c r="E241" i="1"/>
  <c r="F241" i="1" s="1"/>
  <c r="G241" i="1" s="1"/>
  <c r="H241" i="1" s="1"/>
  <c r="I241" i="1" s="1"/>
  <c r="J241" i="1" s="1"/>
  <c r="K241" i="1" s="1"/>
  <c r="L241" i="1" s="1"/>
  <c r="M241" i="1" s="1"/>
  <c r="N241" i="1" s="1"/>
  <c r="O241" i="1" s="1"/>
  <c r="P241" i="1" s="1"/>
  <c r="Q241" i="1" s="1"/>
  <c r="R241" i="1" s="1"/>
  <c r="S241" i="1" s="1"/>
  <c r="T241" i="1" s="1"/>
  <c r="U241" i="1" s="1"/>
  <c r="V241" i="1" s="1"/>
  <c r="W241" i="1" s="1"/>
  <c r="X241" i="1" s="1"/>
  <c r="E243" i="1"/>
  <c r="F243" i="1" s="1"/>
  <c r="G243" i="1" s="1"/>
  <c r="H243" i="1" s="1"/>
  <c r="I243" i="1" s="1"/>
  <c r="J243" i="1" s="1"/>
  <c r="K243" i="1" s="1"/>
  <c r="L243" i="1" s="1"/>
  <c r="M243" i="1" s="1"/>
  <c r="N243" i="1" s="1"/>
  <c r="O243" i="1" s="1"/>
  <c r="P243" i="1" s="1"/>
  <c r="Q243" i="1" s="1"/>
  <c r="R243" i="1" s="1"/>
  <c r="S243" i="1" s="1"/>
  <c r="T243" i="1" s="1"/>
  <c r="U243" i="1" s="1"/>
  <c r="V243" i="1" s="1"/>
  <c r="W243" i="1" s="1"/>
  <c r="X243" i="1" s="1"/>
  <c r="H129" i="1"/>
  <c r="L129" i="1"/>
  <c r="P129" i="1"/>
  <c r="T129" i="1"/>
  <c r="P264" i="1"/>
  <c r="T264" i="1"/>
  <c r="X264" i="1"/>
  <c r="D116" i="3" l="1"/>
  <c r="E46" i="3"/>
  <c r="D81" i="3"/>
  <c r="D34" i="3"/>
  <c r="D122" i="3"/>
  <c r="G147" i="1"/>
  <c r="E134" i="3"/>
  <c r="E98" i="3"/>
  <c r="D52" i="3"/>
  <c r="D25" i="3"/>
  <c r="T29" i="3" s="1"/>
  <c r="E29" i="3"/>
  <c r="E104" i="3"/>
  <c r="F140" i="1"/>
  <c r="F61" i="1" s="1"/>
  <c r="E80" i="3"/>
  <c r="E24" i="3"/>
  <c r="S22" i="3" s="1"/>
  <c r="E66" i="3"/>
  <c r="D105" i="3"/>
  <c r="E34" i="3"/>
  <c r="F34" i="3" s="1"/>
  <c r="E43" i="3"/>
  <c r="D98" i="3"/>
  <c r="F98" i="3" s="1"/>
  <c r="E22" i="3"/>
  <c r="Q22" i="3" s="1"/>
  <c r="D39" i="3"/>
  <c r="D47" i="3"/>
  <c r="D63" i="3"/>
  <c r="D18" i="3"/>
  <c r="M29" i="3" s="1"/>
  <c r="D28" i="3"/>
  <c r="E48" i="3"/>
  <c r="D132" i="3"/>
  <c r="E131" i="3"/>
  <c r="E119" i="3"/>
  <c r="E109" i="3"/>
  <c r="E99" i="3"/>
  <c r="F99" i="3" s="1"/>
  <c r="E87" i="3"/>
  <c r="D131" i="3"/>
  <c r="E118" i="3"/>
  <c r="E102" i="3"/>
  <c r="D87" i="3"/>
  <c r="D74" i="3"/>
  <c r="E136" i="3"/>
  <c r="E124" i="3"/>
  <c r="F124" i="3" s="1"/>
  <c r="D109" i="3"/>
  <c r="D94" i="3"/>
  <c r="D85" i="3"/>
  <c r="E75" i="3"/>
  <c r="E67" i="3"/>
  <c r="E59" i="3"/>
  <c r="E51" i="3"/>
  <c r="D133" i="3"/>
  <c r="F133" i="3" s="1"/>
  <c r="D108" i="3"/>
  <c r="E90" i="3"/>
  <c r="D69" i="3"/>
  <c r="E60" i="3"/>
  <c r="D46" i="3"/>
  <c r="F46" i="3" s="1"/>
  <c r="E38" i="3"/>
  <c r="F38" i="3" s="1"/>
  <c r="D23" i="3"/>
  <c r="D19" i="3"/>
  <c r="M28" i="3" s="1"/>
  <c r="E120" i="3"/>
  <c r="D97" i="3"/>
  <c r="E78" i="3"/>
  <c r="D60" i="3"/>
  <c r="D51" i="3"/>
  <c r="F51" i="3" s="1"/>
  <c r="D38" i="3"/>
  <c r="E28" i="3"/>
  <c r="E18" i="3"/>
  <c r="E114" i="3"/>
  <c r="E17" i="3"/>
  <c r="L22" i="3" s="1"/>
  <c r="D35" i="3"/>
  <c r="D41" i="3"/>
  <c r="D48" i="3"/>
  <c r="E62" i="3"/>
  <c r="D26" i="3"/>
  <c r="U29" i="3" s="1"/>
  <c r="E103" i="3"/>
  <c r="E70" i="3"/>
  <c r="E30" i="3"/>
  <c r="D123" i="3"/>
  <c r="D33" i="3"/>
  <c r="T28" i="3" s="1"/>
  <c r="D43" i="3"/>
  <c r="E72" i="3"/>
  <c r="D24" i="3"/>
  <c r="S29" i="3" s="1"/>
  <c r="E41" i="3"/>
  <c r="D89" i="3"/>
  <c r="D49" i="3"/>
  <c r="E133" i="3"/>
  <c r="E101" i="3"/>
  <c r="D104" i="3"/>
  <c r="D66" i="3"/>
  <c r="D86" i="3"/>
  <c r="E53" i="3"/>
  <c r="D73" i="3"/>
  <c r="E40" i="3"/>
  <c r="F40" i="3" s="1"/>
  <c r="E35" i="3"/>
  <c r="D50" i="3"/>
  <c r="B13" i="3"/>
  <c r="E23" i="3"/>
  <c r="R22" i="3" s="1"/>
  <c r="E68" i="3"/>
  <c r="D30" i="3"/>
  <c r="E56" i="3"/>
  <c r="D71" i="3"/>
  <c r="D67" i="3"/>
  <c r="D130" i="3"/>
  <c r="E127" i="3"/>
  <c r="E117" i="3"/>
  <c r="E107" i="3"/>
  <c r="E95" i="3"/>
  <c r="E85" i="3"/>
  <c r="D127" i="3"/>
  <c r="D111" i="3"/>
  <c r="D96" i="3"/>
  <c r="E86" i="3"/>
  <c r="F86" i="3" s="1"/>
  <c r="D70" i="3"/>
  <c r="E132" i="3"/>
  <c r="D118" i="3"/>
  <c r="F118" i="3" s="1"/>
  <c r="D102" i="3"/>
  <c r="D93" i="3"/>
  <c r="E84" i="3"/>
  <c r="E73" i="3"/>
  <c r="E65" i="3"/>
  <c r="E57" i="3"/>
  <c r="E49" i="3"/>
  <c r="D124" i="3"/>
  <c r="E106" i="3"/>
  <c r="D83" i="3"/>
  <c r="D65" i="3"/>
  <c r="D54" i="3"/>
  <c r="D45" i="3"/>
  <c r="S27" i="3" s="1"/>
  <c r="E32" i="3"/>
  <c r="F32" i="3" s="1"/>
  <c r="D22" i="3"/>
  <c r="Q29" i="3" s="1"/>
  <c r="D17" i="3"/>
  <c r="D113" i="3"/>
  <c r="D90" i="3"/>
  <c r="E74" i="3"/>
  <c r="D59" i="3"/>
  <c r="E50" i="3"/>
  <c r="T20" i="3" s="1"/>
  <c r="D32" i="3"/>
  <c r="E27" i="3"/>
  <c r="Q21" i="3" s="1"/>
  <c r="D129" i="3"/>
  <c r="D107" i="3"/>
  <c r="F107" i="3" s="1"/>
  <c r="E25" i="3"/>
  <c r="D36" i="3"/>
  <c r="D42" i="3"/>
  <c r="E64" i="3"/>
  <c r="E96" i="3"/>
  <c r="E36" i="3"/>
  <c r="U21" i="3" s="1"/>
  <c r="D84" i="3"/>
  <c r="F84" i="3" s="1"/>
  <c r="E19" i="3"/>
  <c r="N22" i="3" s="1"/>
  <c r="E31" i="3"/>
  <c r="S21" i="3" s="1"/>
  <c r="D82" i="3"/>
  <c r="D114" i="3"/>
  <c r="D58" i="3"/>
  <c r="D75" i="3"/>
  <c r="E135" i="3"/>
  <c r="E125" i="3"/>
  <c r="E115" i="3"/>
  <c r="E83" i="3"/>
  <c r="F83" i="3" s="1"/>
  <c r="D120" i="3"/>
  <c r="D95" i="3"/>
  <c r="D78" i="3"/>
  <c r="F78" i="3" s="1"/>
  <c r="E128" i="3"/>
  <c r="E116" i="3"/>
  <c r="F116" i="3" s="1"/>
  <c r="E92" i="3"/>
  <c r="E79" i="3"/>
  <c r="F79" i="3" s="1"/>
  <c r="D27" i="3"/>
  <c r="D79" i="3"/>
  <c r="D134" i="3"/>
  <c r="F134" i="3" s="1"/>
  <c r="E111" i="3"/>
  <c r="F111" i="3" s="1"/>
  <c r="E91" i="3"/>
  <c r="D119" i="3"/>
  <c r="D88" i="3"/>
  <c r="D125" i="3"/>
  <c r="E100" i="3"/>
  <c r="E77" i="3"/>
  <c r="E61" i="3"/>
  <c r="E45" i="3"/>
  <c r="F45" i="3" s="1"/>
  <c r="D92" i="3"/>
  <c r="E52" i="3"/>
  <c r="E54" i="3"/>
  <c r="F54" i="3" s="1"/>
  <c r="E39" i="3"/>
  <c r="E93" i="3"/>
  <c r="F93" i="3" s="1"/>
  <c r="E110" i="3"/>
  <c r="D68" i="3"/>
  <c r="F68" i="3" s="1"/>
  <c r="D101" i="3"/>
  <c r="E71" i="3"/>
  <c r="F71" i="3" s="1"/>
  <c r="E63" i="3"/>
  <c r="E55" i="3"/>
  <c r="E47" i="3"/>
  <c r="F47" i="3" s="1"/>
  <c r="E122" i="3"/>
  <c r="D99" i="3"/>
  <c r="D77" i="3"/>
  <c r="D62" i="3"/>
  <c r="D53" i="3"/>
  <c r="E44" i="3"/>
  <c r="D31" i="3"/>
  <c r="D21" i="3"/>
  <c r="N28" i="3" s="1"/>
  <c r="E130" i="3"/>
  <c r="D106" i="3"/>
  <c r="E88" i="3"/>
  <c r="F88" i="3" s="1"/>
  <c r="E58" i="3"/>
  <c r="F58" i="3" s="1"/>
  <c r="D44" i="3"/>
  <c r="F44" i="3" s="1"/>
  <c r="E26" i="3"/>
  <c r="D100" i="3"/>
  <c r="D37" i="3"/>
  <c r="D55" i="3"/>
  <c r="D91" i="3"/>
  <c r="E20" i="3"/>
  <c r="F20" i="3" s="1"/>
  <c r="D121" i="3"/>
  <c r="E123" i="3"/>
  <c r="F123" i="3" s="1"/>
  <c r="D135" i="3"/>
  <c r="D76" i="3"/>
  <c r="D110" i="3"/>
  <c r="E69" i="3"/>
  <c r="F69" i="3" s="1"/>
  <c r="D115" i="3"/>
  <c r="D61" i="3"/>
  <c r="K147" i="1"/>
  <c r="W147" i="1"/>
  <c r="L147" i="1"/>
  <c r="N147" i="1"/>
  <c r="P147" i="1"/>
  <c r="H147" i="1"/>
  <c r="I147" i="1"/>
  <c r="F147" i="1"/>
  <c r="U147" i="1"/>
  <c r="O147" i="1"/>
  <c r="V147" i="1"/>
  <c r="S147" i="1"/>
  <c r="G140" i="1"/>
  <c r="G61" i="1" s="1"/>
  <c r="Q147" i="1"/>
  <c r="E131" i="1"/>
  <c r="F131" i="1" s="1"/>
  <c r="E108" i="3"/>
  <c r="F108" i="3" s="1"/>
  <c r="D117" i="3"/>
  <c r="D126" i="3"/>
  <c r="D64" i="3"/>
  <c r="D72" i="3"/>
  <c r="D80" i="3"/>
  <c r="E94" i="3"/>
  <c r="D103" i="3"/>
  <c r="D112" i="3"/>
  <c r="E126" i="3"/>
  <c r="E81" i="3"/>
  <c r="F81" i="3" s="1"/>
  <c r="E89" i="3"/>
  <c r="E97" i="3"/>
  <c r="E105" i="3"/>
  <c r="E113" i="3"/>
  <c r="E121" i="3"/>
  <c r="E129" i="3"/>
  <c r="D128" i="3"/>
  <c r="D136" i="3"/>
  <c r="F136" i="3" s="1"/>
  <c r="E42" i="3"/>
  <c r="D29" i="3"/>
  <c r="F29" i="3" s="1"/>
  <c r="E76" i="3"/>
  <c r="D56" i="3"/>
  <c r="E21" i="3"/>
  <c r="E112" i="3"/>
  <c r="F112" i="3" s="1"/>
  <c r="D57" i="3"/>
  <c r="E37" i="3"/>
  <c r="E33" i="3"/>
  <c r="F33" i="3" s="1"/>
  <c r="E82" i="3"/>
  <c r="F80" i="3"/>
  <c r="F109" i="3"/>
  <c r="U28" i="3"/>
  <c r="F28" i="3"/>
  <c r="R29" i="3"/>
  <c r="O28" i="3"/>
  <c r="Q28" i="3"/>
  <c r="F36" i="3"/>
  <c r="F26" i="3"/>
  <c r="U22" i="3"/>
  <c r="F22" i="3"/>
  <c r="F48" i="3"/>
  <c r="R21" i="3"/>
  <c r="S20" i="3"/>
  <c r="F115" i="3"/>
  <c r="P31" i="3"/>
  <c r="F43" i="3"/>
  <c r="F35" i="3"/>
  <c r="G107" i="1"/>
  <c r="G146" i="1" s="1"/>
  <c r="R147" i="1"/>
  <c r="T147" i="1"/>
  <c r="M147" i="1"/>
  <c r="F107" i="1"/>
  <c r="F146" i="1" s="1"/>
  <c r="E232" i="1"/>
  <c r="E285" i="1" s="1"/>
  <c r="E313" i="1" s="1"/>
  <c r="E65" i="1"/>
  <c r="E174" i="1" s="1"/>
  <c r="E193" i="1"/>
  <c r="D271" i="1"/>
  <c r="D264" i="1"/>
  <c r="D255" i="1" s="1"/>
  <c r="J175" i="1"/>
  <c r="J125" i="1"/>
  <c r="J155" i="1" s="1"/>
  <c r="J154" i="1" s="1"/>
  <c r="F142" i="1"/>
  <c r="G142" i="1"/>
  <c r="E147" i="1"/>
  <c r="E150" i="1" s="1"/>
  <c r="D235" i="1"/>
  <c r="D227" i="1" s="1"/>
  <c r="D194" i="1"/>
  <c r="D196" i="1" s="1"/>
  <c r="J147" i="1"/>
  <c r="H38" i="1"/>
  <c r="G45" i="1"/>
  <c r="G46" i="1" s="1"/>
  <c r="I77" i="1"/>
  <c r="J75" i="1"/>
  <c r="E245" i="1"/>
  <c r="F237" i="1"/>
  <c r="H107" i="1"/>
  <c r="H146" i="1" s="1"/>
  <c r="H76" i="1"/>
  <c r="F45" i="1"/>
  <c r="F46" i="1" s="1"/>
  <c r="H142" i="1"/>
  <c r="I34" i="1"/>
  <c r="F23" i="3" l="1"/>
  <c r="F76" i="3"/>
  <c r="F100" i="3"/>
  <c r="F31" i="3"/>
  <c r="F59" i="3"/>
  <c r="F17" i="3"/>
  <c r="F94" i="3"/>
  <c r="F129" i="3"/>
  <c r="F97" i="3"/>
  <c r="Q27" i="3"/>
  <c r="U19" i="3"/>
  <c r="U41" i="3" s="1"/>
  <c r="N158" i="1" s="1"/>
  <c r="F73" i="3"/>
  <c r="F67" i="3"/>
  <c r="F87" i="3"/>
  <c r="F21" i="3"/>
  <c r="F121" i="3"/>
  <c r="F64" i="3"/>
  <c r="F125" i="3"/>
  <c r="T27" i="3"/>
  <c r="F101" i="3"/>
  <c r="F102" i="3"/>
  <c r="P29" i="3"/>
  <c r="F105" i="3"/>
  <c r="F122" i="3"/>
  <c r="N27" i="3"/>
  <c r="F25" i="3"/>
  <c r="F57" i="3"/>
  <c r="F70" i="3"/>
  <c r="F127" i="3"/>
  <c r="F49" i="3"/>
  <c r="F62" i="3"/>
  <c r="F74" i="3"/>
  <c r="F131" i="3"/>
  <c r="F39" i="3"/>
  <c r="P28" i="3"/>
  <c r="F89" i="3"/>
  <c r="T26" i="3"/>
  <c r="T42" i="3" s="1"/>
  <c r="M214" i="1" s="1"/>
  <c r="B14" i="3"/>
  <c r="R20" i="3"/>
  <c r="F103" i="3"/>
  <c r="F37" i="3"/>
  <c r="F113" i="3"/>
  <c r="F126" i="3"/>
  <c r="F106" i="3"/>
  <c r="F52" i="3"/>
  <c r="F120" i="3"/>
  <c r="F104" i="3"/>
  <c r="F144" i="1"/>
  <c r="F300" i="1" s="1"/>
  <c r="F55" i="3"/>
  <c r="F61" i="3"/>
  <c r="F92" i="3"/>
  <c r="F96" i="3"/>
  <c r="T22" i="3"/>
  <c r="L21" i="3"/>
  <c r="F27" i="3"/>
  <c r="F110" i="3"/>
  <c r="N213" i="1"/>
  <c r="N157" i="1"/>
  <c r="R26" i="3"/>
  <c r="F72" i="3"/>
  <c r="O20" i="3"/>
  <c r="F90" i="3"/>
  <c r="O21" i="3"/>
  <c r="F24" i="3"/>
  <c r="P22" i="3"/>
  <c r="N20" i="3"/>
  <c r="L27" i="3"/>
  <c r="F41" i="3"/>
  <c r="F128" i="3"/>
  <c r="F117" i="3"/>
  <c r="P19" i="3"/>
  <c r="P41" i="3" s="1"/>
  <c r="I158" i="1" s="1"/>
  <c r="F95" i="3"/>
  <c r="F130" i="3"/>
  <c r="M26" i="3"/>
  <c r="M42" i="3" s="1"/>
  <c r="F214" i="1" s="1"/>
  <c r="U20" i="3"/>
  <c r="R27" i="3"/>
  <c r="L20" i="3"/>
  <c r="F60" i="3"/>
  <c r="F75" i="3"/>
  <c r="P27" i="3"/>
  <c r="O22" i="3"/>
  <c r="F114" i="3"/>
  <c r="P20" i="3"/>
  <c r="N19" i="3"/>
  <c r="N41" i="3" s="1"/>
  <c r="G158" i="1" s="1"/>
  <c r="S26" i="3"/>
  <c r="S42" i="3" s="1"/>
  <c r="L214" i="1" s="1"/>
  <c r="F91" i="3"/>
  <c r="P21" i="3"/>
  <c r="F77" i="3"/>
  <c r="F119" i="3"/>
  <c r="F135" i="3"/>
  <c r="P26" i="3"/>
  <c r="F66" i="3"/>
  <c r="E252" i="1"/>
  <c r="E250" i="1" s="1"/>
  <c r="E194" i="1" s="1"/>
  <c r="E196" i="1" s="1"/>
  <c r="N21" i="3"/>
  <c r="F30" i="3"/>
  <c r="Q26" i="3"/>
  <c r="Q42" i="3" s="1"/>
  <c r="J214" i="1" s="1"/>
  <c r="T19" i="3"/>
  <c r="T41" i="3" s="1"/>
  <c r="M158" i="1" s="1"/>
  <c r="N29" i="3"/>
  <c r="G17" i="3"/>
  <c r="C18" i="3" s="1"/>
  <c r="G18" i="3" s="1"/>
  <c r="C19" i="3" s="1"/>
  <c r="G19" i="3" s="1"/>
  <c r="C20" i="3" s="1"/>
  <c r="G20" i="3" s="1"/>
  <c r="C21" i="3" s="1"/>
  <c r="G21" i="3" s="1"/>
  <c r="C22" i="3" s="1"/>
  <c r="G22" i="3" s="1"/>
  <c r="C23" i="3" s="1"/>
  <c r="G23" i="3" s="1"/>
  <c r="C24" i="3" s="1"/>
  <c r="G24" i="3" s="1"/>
  <c r="C25" i="3" s="1"/>
  <c r="G25" i="3" s="1"/>
  <c r="C26" i="3" s="1"/>
  <c r="G26" i="3" s="1"/>
  <c r="C27" i="3" s="1"/>
  <c r="G27" i="3" s="1"/>
  <c r="C28" i="3" s="1"/>
  <c r="G28" i="3" s="1"/>
  <c r="L28" i="3"/>
  <c r="O27" i="3"/>
  <c r="U27" i="3"/>
  <c r="F63" i="3"/>
  <c r="F19" i="3"/>
  <c r="F53" i="3"/>
  <c r="N26" i="3"/>
  <c r="N42" i="3" s="1"/>
  <c r="G214" i="1" s="1"/>
  <c r="S19" i="3"/>
  <c r="S41" i="3" s="1"/>
  <c r="L158" i="1" s="1"/>
  <c r="M22" i="3"/>
  <c r="L19" i="3"/>
  <c r="L41" i="3" s="1"/>
  <c r="E158" i="1" s="1"/>
  <c r="L29" i="3"/>
  <c r="R28" i="3"/>
  <c r="F50" i="3"/>
  <c r="M21" i="3"/>
  <c r="O19" i="3"/>
  <c r="O41" i="3" s="1"/>
  <c r="H158" i="1" s="1"/>
  <c r="M20" i="3"/>
  <c r="F65" i="3"/>
  <c r="F42" i="3"/>
  <c r="F18" i="3"/>
  <c r="T21" i="3"/>
  <c r="L26" i="3"/>
  <c r="L42" i="3" s="1"/>
  <c r="E214" i="1" s="1"/>
  <c r="M27" i="3"/>
  <c r="F82" i="3"/>
  <c r="S28" i="3"/>
  <c r="F85" i="3"/>
  <c r="Q19" i="3"/>
  <c r="Q41" i="3" s="1"/>
  <c r="J158" i="1" s="1"/>
  <c r="F132" i="3"/>
  <c r="M19" i="3"/>
  <c r="M41" i="3" s="1"/>
  <c r="F158" i="1" s="1"/>
  <c r="F56" i="3"/>
  <c r="O26" i="3"/>
  <c r="O42" i="3" s="1"/>
  <c r="H214" i="1" s="1"/>
  <c r="R19" i="3"/>
  <c r="R41" i="3" s="1"/>
  <c r="K158" i="1" s="1"/>
  <c r="U26" i="3"/>
  <c r="U42" i="3" s="1"/>
  <c r="N214" i="1" s="1"/>
  <c r="Q20" i="3"/>
  <c r="P42" i="3"/>
  <c r="I214" i="1" s="1"/>
  <c r="R42" i="3"/>
  <c r="K214" i="1" s="1"/>
  <c r="L33" i="3"/>
  <c r="C29" i="3"/>
  <c r="G29" i="3" s="1"/>
  <c r="C30" i="3" s="1"/>
  <c r="G30" i="3" s="1"/>
  <c r="C31" i="3" s="1"/>
  <c r="G31" i="3" s="1"/>
  <c r="C32" i="3" s="1"/>
  <c r="G32" i="3" s="1"/>
  <c r="C33" i="3" s="1"/>
  <c r="G33" i="3" s="1"/>
  <c r="C34" i="3" s="1"/>
  <c r="G34" i="3" s="1"/>
  <c r="C35" i="3" s="1"/>
  <c r="G35" i="3" s="1"/>
  <c r="C36" i="3" s="1"/>
  <c r="G36" i="3" s="1"/>
  <c r="C37" i="3" s="1"/>
  <c r="G37" i="3" s="1"/>
  <c r="C38" i="3" s="1"/>
  <c r="G38" i="3" s="1"/>
  <c r="C39" i="3" s="1"/>
  <c r="G39" i="3" s="1"/>
  <c r="C40" i="3" s="1"/>
  <c r="G40" i="3" s="1"/>
  <c r="Q31" i="3"/>
  <c r="E301" i="1"/>
  <c r="E152" i="1"/>
  <c r="K75" i="1"/>
  <c r="H45" i="1"/>
  <c r="H46" i="1" s="1"/>
  <c r="I38" i="1"/>
  <c r="I140" i="1" s="1"/>
  <c r="H140" i="1"/>
  <c r="F245" i="1"/>
  <c r="G237" i="1"/>
  <c r="G232" i="1"/>
  <c r="F252" i="1"/>
  <c r="F250" i="1" s="1"/>
  <c r="G131" i="1"/>
  <c r="I107" i="1"/>
  <c r="I146" i="1" s="1"/>
  <c r="J97" i="1"/>
  <c r="K97" i="1" s="1"/>
  <c r="L97" i="1" s="1"/>
  <c r="M97" i="1" s="1"/>
  <c r="N97" i="1" s="1"/>
  <c r="O97" i="1" s="1"/>
  <c r="P97" i="1" s="1"/>
  <c r="Q97" i="1" s="1"/>
  <c r="R97" i="1" s="1"/>
  <c r="S97" i="1" s="1"/>
  <c r="T97" i="1" s="1"/>
  <c r="U97" i="1" s="1"/>
  <c r="V97" i="1" s="1"/>
  <c r="W97" i="1" s="1"/>
  <c r="X97" i="1" s="1"/>
  <c r="E271" i="1"/>
  <c r="D269" i="1"/>
  <c r="D275" i="1" s="1"/>
  <c r="D277" i="1" s="1"/>
  <c r="J34" i="1"/>
  <c r="I142" i="1"/>
  <c r="G62" i="1"/>
  <c r="G233" i="1" s="1"/>
  <c r="G63" i="1"/>
  <c r="G259" i="1" s="1"/>
  <c r="H63" i="1"/>
  <c r="H259" i="1" s="1"/>
  <c r="H62" i="1"/>
  <c r="H233" i="1" s="1"/>
  <c r="I76" i="1"/>
  <c r="E235" i="1"/>
  <c r="G144" i="1"/>
  <c r="F232" i="1"/>
  <c r="J77" i="1"/>
  <c r="F62" i="1"/>
  <c r="F233" i="1" s="1"/>
  <c r="F63" i="1"/>
  <c r="F259" i="1" s="1"/>
  <c r="F150" i="1" l="1"/>
  <c r="F301" i="1" s="1"/>
  <c r="G213" i="1"/>
  <c r="G157" i="1"/>
  <c r="J213" i="1"/>
  <c r="J157" i="1"/>
  <c r="F213" i="1"/>
  <c r="F157" i="1"/>
  <c r="L213" i="1"/>
  <c r="L157" i="1"/>
  <c r="I213" i="1"/>
  <c r="I157" i="1"/>
  <c r="E213" i="1"/>
  <c r="E157" i="1"/>
  <c r="E160" i="1" s="1"/>
  <c r="E162" i="1" s="1"/>
  <c r="K213" i="1"/>
  <c r="K157" i="1"/>
  <c r="H213" i="1"/>
  <c r="H157" i="1"/>
  <c r="M213" i="1"/>
  <c r="M157" i="1"/>
  <c r="G285" i="1"/>
  <c r="G313" i="1" s="1"/>
  <c r="C41" i="3"/>
  <c r="G41" i="3" s="1"/>
  <c r="C42" i="3" s="1"/>
  <c r="G42" i="3" s="1"/>
  <c r="C43" i="3" s="1"/>
  <c r="G43" i="3" s="1"/>
  <c r="C44" i="3" s="1"/>
  <c r="G44" i="3" s="1"/>
  <c r="C45" i="3" s="1"/>
  <c r="G45" i="3" s="1"/>
  <c r="C46" i="3" s="1"/>
  <c r="G46" i="3" s="1"/>
  <c r="C47" i="3" s="1"/>
  <c r="G47" i="3" s="1"/>
  <c r="C48" i="3" s="1"/>
  <c r="G48" i="3" s="1"/>
  <c r="C49" i="3" s="1"/>
  <c r="G49" i="3" s="1"/>
  <c r="C50" i="3" s="1"/>
  <c r="G50" i="3" s="1"/>
  <c r="C51" i="3" s="1"/>
  <c r="G51" i="3" s="1"/>
  <c r="C52" i="3" s="1"/>
  <c r="G52" i="3" s="1"/>
  <c r="M33" i="3"/>
  <c r="R31" i="3"/>
  <c r="L34" i="3"/>
  <c r="L35" i="3" s="1"/>
  <c r="L36" i="3" s="1"/>
  <c r="L43" i="3" s="1"/>
  <c r="E266" i="1" s="1"/>
  <c r="E264" i="1" s="1"/>
  <c r="I61" i="1"/>
  <c r="I144" i="1"/>
  <c r="F193" i="1"/>
  <c r="I63" i="1"/>
  <c r="I259" i="1" s="1"/>
  <c r="I62" i="1"/>
  <c r="I233" i="1" s="1"/>
  <c r="F271" i="1"/>
  <c r="G245" i="1"/>
  <c r="H237" i="1"/>
  <c r="E302" i="1"/>
  <c r="E314" i="1" s="1"/>
  <c r="E172" i="1"/>
  <c r="E178" i="1" s="1"/>
  <c r="F285" i="1"/>
  <c r="F313" i="1" s="1"/>
  <c r="F65" i="1"/>
  <c r="F174" i="1" s="1"/>
  <c r="G252" i="1"/>
  <c r="G250" i="1" s="1"/>
  <c r="H131" i="1"/>
  <c r="G65" i="1"/>
  <c r="G174" i="1" s="1"/>
  <c r="F194" i="1"/>
  <c r="F235" i="1"/>
  <c r="L75" i="1"/>
  <c r="G300" i="1"/>
  <c r="G150" i="1"/>
  <c r="J76" i="1"/>
  <c r="J107" i="1"/>
  <c r="J146" i="1" s="1"/>
  <c r="I45" i="1"/>
  <c r="I46" i="1" s="1"/>
  <c r="J38" i="1"/>
  <c r="K77" i="1"/>
  <c r="J142" i="1"/>
  <c r="K34" i="1"/>
  <c r="G193" i="1"/>
  <c r="H144" i="1"/>
  <c r="H61" i="1"/>
  <c r="F160" i="1" l="1"/>
  <c r="F162" i="1" s="1"/>
  <c r="F164" i="1" s="1"/>
  <c r="F152" i="1"/>
  <c r="E309" i="1"/>
  <c r="S31" i="3"/>
  <c r="M34" i="3"/>
  <c r="M35" i="3" s="1"/>
  <c r="M36" i="3" s="1"/>
  <c r="M43" i="3" s="1"/>
  <c r="F266" i="1" s="1"/>
  <c r="F264" i="1" s="1"/>
  <c r="C53" i="3"/>
  <c r="G53" i="3" s="1"/>
  <c r="C54" i="3" s="1"/>
  <c r="G54" i="3" s="1"/>
  <c r="C55" i="3" s="1"/>
  <c r="G55" i="3" s="1"/>
  <c r="C56" i="3" s="1"/>
  <c r="G56" i="3" s="1"/>
  <c r="C57" i="3" s="1"/>
  <c r="G57" i="3" s="1"/>
  <c r="C58" i="3" s="1"/>
  <c r="G58" i="3" s="1"/>
  <c r="C59" i="3" s="1"/>
  <c r="G59" i="3" s="1"/>
  <c r="C60" i="3" s="1"/>
  <c r="G60" i="3" s="1"/>
  <c r="C61" i="3" s="1"/>
  <c r="G61" i="3" s="1"/>
  <c r="C62" i="3" s="1"/>
  <c r="G62" i="3" s="1"/>
  <c r="C63" i="3" s="1"/>
  <c r="G63" i="3" s="1"/>
  <c r="C64" i="3" s="1"/>
  <c r="G64" i="3" s="1"/>
  <c r="N33" i="3"/>
  <c r="K38" i="1"/>
  <c r="K140" i="1" s="1"/>
  <c r="J45" i="1"/>
  <c r="J46" i="1" s="1"/>
  <c r="H193" i="1"/>
  <c r="H65" i="1"/>
  <c r="H174" i="1" s="1"/>
  <c r="H232" i="1"/>
  <c r="H285" i="1" s="1"/>
  <c r="H313" i="1" s="1"/>
  <c r="I300" i="1"/>
  <c r="I150" i="1"/>
  <c r="H300" i="1"/>
  <c r="H150" i="1"/>
  <c r="J62" i="1"/>
  <c r="J233" i="1" s="1"/>
  <c r="J63" i="1"/>
  <c r="J259" i="1" s="1"/>
  <c r="L77" i="1"/>
  <c r="G301" i="1"/>
  <c r="G160" i="1"/>
  <c r="G152" i="1"/>
  <c r="E260" i="1"/>
  <c r="E179" i="1"/>
  <c r="E181" i="1" s="1"/>
  <c r="E215" i="1"/>
  <c r="E191" i="1"/>
  <c r="G235" i="1"/>
  <c r="G194" i="1"/>
  <c r="G196" i="1" s="1"/>
  <c r="I232" i="1"/>
  <c r="I285" i="1" s="1"/>
  <c r="I313" i="1" s="1"/>
  <c r="I65" i="1"/>
  <c r="I174" i="1" s="1"/>
  <c r="I193" i="1"/>
  <c r="K142" i="1"/>
  <c r="L34" i="1"/>
  <c r="K76" i="1"/>
  <c r="M75" i="1"/>
  <c r="H252" i="1"/>
  <c r="H250" i="1" s="1"/>
  <c r="I131" i="1"/>
  <c r="H245" i="1"/>
  <c r="I237" i="1"/>
  <c r="J140" i="1"/>
  <c r="K107" i="1"/>
  <c r="K146" i="1" s="1"/>
  <c r="E164" i="1"/>
  <c r="G271" i="1"/>
  <c r="F196" i="1"/>
  <c r="F309" i="1" l="1"/>
  <c r="F302" i="1"/>
  <c r="F314" i="1" s="1"/>
  <c r="F172" i="1"/>
  <c r="F178" i="1" s="1"/>
  <c r="N43" i="3"/>
  <c r="G266" i="1" s="1"/>
  <c r="G264" i="1" s="1"/>
  <c r="N34" i="3"/>
  <c r="N35" i="3" s="1"/>
  <c r="N36" i="3" s="1"/>
  <c r="T31" i="3"/>
  <c r="C65" i="3"/>
  <c r="G65" i="3" s="1"/>
  <c r="C66" i="3" s="1"/>
  <c r="G66" i="3" s="1"/>
  <c r="C67" i="3" s="1"/>
  <c r="G67" i="3" s="1"/>
  <c r="C68" i="3" s="1"/>
  <c r="G68" i="3" s="1"/>
  <c r="C69" i="3" s="1"/>
  <c r="G69" i="3" s="1"/>
  <c r="C70" i="3" s="1"/>
  <c r="G70" i="3" s="1"/>
  <c r="C71" i="3" s="1"/>
  <c r="G71" i="3" s="1"/>
  <c r="C72" i="3" s="1"/>
  <c r="G72" i="3" s="1"/>
  <c r="C73" i="3" s="1"/>
  <c r="G73" i="3" s="1"/>
  <c r="C74" i="3" s="1"/>
  <c r="G74" i="3" s="1"/>
  <c r="C75" i="3" s="1"/>
  <c r="G75" i="3" s="1"/>
  <c r="C76" i="3" s="1"/>
  <c r="G76" i="3" s="1"/>
  <c r="O33" i="3"/>
  <c r="F303" i="1"/>
  <c r="F166" i="1"/>
  <c r="F167" i="1"/>
  <c r="E212" i="1"/>
  <c r="L107" i="1"/>
  <c r="L146" i="1" s="1"/>
  <c r="L142" i="1"/>
  <c r="M34" i="1"/>
  <c r="I301" i="1"/>
  <c r="I152" i="1"/>
  <c r="I160" i="1"/>
  <c r="J61" i="1"/>
  <c r="J144" i="1"/>
  <c r="E273" i="1"/>
  <c r="F273" i="1" s="1"/>
  <c r="E303" i="1"/>
  <c r="E167" i="1"/>
  <c r="E166" i="1"/>
  <c r="I252" i="1"/>
  <c r="I250" i="1" s="1"/>
  <c r="J131" i="1"/>
  <c r="K62" i="1"/>
  <c r="K233" i="1" s="1"/>
  <c r="K63" i="1"/>
  <c r="K259" i="1" s="1"/>
  <c r="E202" i="1"/>
  <c r="E198" i="1"/>
  <c r="G302" i="1"/>
  <c r="G314" i="1" s="1"/>
  <c r="G172" i="1"/>
  <c r="G178" i="1" s="1"/>
  <c r="H301" i="1"/>
  <c r="H160" i="1"/>
  <c r="H152" i="1"/>
  <c r="I245" i="1"/>
  <c r="J237" i="1"/>
  <c r="H235" i="1"/>
  <c r="H194" i="1"/>
  <c r="H196" i="1" s="1"/>
  <c r="N75" i="1"/>
  <c r="K144" i="1"/>
  <c r="K61" i="1"/>
  <c r="H271" i="1"/>
  <c r="F215" i="1"/>
  <c r="F260" i="1"/>
  <c r="F179" i="1"/>
  <c r="F181" i="1" s="1"/>
  <c r="F191" i="1"/>
  <c r="L76" i="1"/>
  <c r="G162" i="1"/>
  <c r="G164" i="1" s="1"/>
  <c r="M77" i="1"/>
  <c r="L38" i="1"/>
  <c r="K45" i="1"/>
  <c r="K46" i="1" s="1"/>
  <c r="G309" i="1" l="1"/>
  <c r="U31" i="3"/>
  <c r="O34" i="3"/>
  <c r="O35" i="3" s="1"/>
  <c r="O36" i="3" s="1"/>
  <c r="O43" i="3" s="1"/>
  <c r="H266" i="1" s="1"/>
  <c r="H264" i="1" s="1"/>
  <c r="C77" i="3"/>
  <c r="G77" i="3" s="1"/>
  <c r="C78" i="3" s="1"/>
  <c r="G78" i="3" s="1"/>
  <c r="C79" i="3" s="1"/>
  <c r="G79" i="3" s="1"/>
  <c r="C80" i="3" s="1"/>
  <c r="G80" i="3" s="1"/>
  <c r="C81" i="3" s="1"/>
  <c r="G81" i="3" s="1"/>
  <c r="C82" i="3" s="1"/>
  <c r="G82" i="3" s="1"/>
  <c r="C83" i="3" s="1"/>
  <c r="G83" i="3" s="1"/>
  <c r="C84" i="3" s="1"/>
  <c r="G84" i="3" s="1"/>
  <c r="C85" i="3" s="1"/>
  <c r="G85" i="3" s="1"/>
  <c r="C86" i="3" s="1"/>
  <c r="G86" i="3" s="1"/>
  <c r="C87" i="3" s="1"/>
  <c r="G87" i="3" s="1"/>
  <c r="C88" i="3" s="1"/>
  <c r="G88" i="3" s="1"/>
  <c r="P33" i="3"/>
  <c r="F212" i="1"/>
  <c r="L45" i="1"/>
  <c r="L46" i="1" s="1"/>
  <c r="M38" i="1"/>
  <c r="L63" i="1"/>
  <c r="L259" i="1" s="1"/>
  <c r="L62" i="1"/>
  <c r="L233" i="1" s="1"/>
  <c r="O75" i="1"/>
  <c r="H302" i="1"/>
  <c r="H314" i="1" s="1"/>
  <c r="H172" i="1"/>
  <c r="H178" i="1" s="1"/>
  <c r="E261" i="1"/>
  <c r="E257" i="1" s="1"/>
  <c r="E216" i="1"/>
  <c r="F216" i="1" s="1"/>
  <c r="I162" i="1"/>
  <c r="M107" i="1"/>
  <c r="M146" i="1" s="1"/>
  <c r="N77" i="1"/>
  <c r="M76" i="1"/>
  <c r="K232" i="1"/>
  <c r="K285" i="1" s="1"/>
  <c r="K313" i="1" s="1"/>
  <c r="K193" i="1"/>
  <c r="K65" i="1"/>
  <c r="K174" i="1" s="1"/>
  <c r="J245" i="1"/>
  <c r="K237" i="1"/>
  <c r="H162" i="1"/>
  <c r="J252" i="1"/>
  <c r="J250" i="1" s="1"/>
  <c r="K131" i="1"/>
  <c r="J300" i="1"/>
  <c r="J150" i="1"/>
  <c r="I302" i="1"/>
  <c r="I314" i="1" s="1"/>
  <c r="I172" i="1"/>
  <c r="I178" i="1" s="1"/>
  <c r="M142" i="1"/>
  <c r="N34" i="1"/>
  <c r="G303" i="1"/>
  <c r="G167" i="1"/>
  <c r="G166" i="1"/>
  <c r="I271" i="1"/>
  <c r="E272" i="1"/>
  <c r="E269" i="1" s="1"/>
  <c r="E217" i="1"/>
  <c r="F217" i="1" s="1"/>
  <c r="F272" i="1"/>
  <c r="F269" i="1" s="1"/>
  <c r="G215" i="1"/>
  <c r="G260" i="1"/>
  <c r="G179" i="1"/>
  <c r="G181" i="1" s="1"/>
  <c r="G191" i="1"/>
  <c r="F202" i="1"/>
  <c r="F198" i="1"/>
  <c r="K300" i="1"/>
  <c r="K150" i="1"/>
  <c r="I235" i="1"/>
  <c r="I194" i="1"/>
  <c r="I196" i="1" s="1"/>
  <c r="G273" i="1"/>
  <c r="J232" i="1"/>
  <c r="J285" i="1" s="1"/>
  <c r="J313" i="1" s="1"/>
  <c r="J65" i="1"/>
  <c r="J174" i="1" s="1"/>
  <c r="J193" i="1"/>
  <c r="L140" i="1"/>
  <c r="F261" i="1"/>
  <c r="F257" i="1" s="1"/>
  <c r="H309" i="1" l="1"/>
  <c r="P43" i="3"/>
  <c r="I266" i="1" s="1"/>
  <c r="P34" i="3"/>
  <c r="P35" i="3" s="1"/>
  <c r="P36" i="3" s="1"/>
  <c r="C89" i="3"/>
  <c r="G89" i="3" s="1"/>
  <c r="C90" i="3" s="1"/>
  <c r="G90" i="3" s="1"/>
  <c r="C91" i="3" s="1"/>
  <c r="G91" i="3" s="1"/>
  <c r="C92" i="3" s="1"/>
  <c r="G92" i="3" s="1"/>
  <c r="C93" i="3" s="1"/>
  <c r="G93" i="3" s="1"/>
  <c r="C94" i="3" s="1"/>
  <c r="G94" i="3" s="1"/>
  <c r="C95" i="3" s="1"/>
  <c r="G95" i="3" s="1"/>
  <c r="C96" i="3" s="1"/>
  <c r="G96" i="3" s="1"/>
  <c r="C97" i="3" s="1"/>
  <c r="G97" i="3" s="1"/>
  <c r="C98" i="3" s="1"/>
  <c r="G98" i="3" s="1"/>
  <c r="C99" i="3" s="1"/>
  <c r="G99" i="3" s="1"/>
  <c r="C100" i="3" s="1"/>
  <c r="G100" i="3" s="1"/>
  <c r="Q33" i="3"/>
  <c r="E223" i="1"/>
  <c r="F221" i="1" s="1"/>
  <c r="F223" i="1" s="1"/>
  <c r="F255" i="1"/>
  <c r="F275" i="1" s="1"/>
  <c r="G212" i="1"/>
  <c r="M63" i="1"/>
  <c r="M259" i="1" s="1"/>
  <c r="M62" i="1"/>
  <c r="M233" i="1" s="1"/>
  <c r="I260" i="1"/>
  <c r="I179" i="1"/>
  <c r="I181" i="1" s="1"/>
  <c r="I212" i="1" s="1"/>
  <c r="I191" i="1"/>
  <c r="E306" i="1"/>
  <c r="G261" i="1"/>
  <c r="G257" i="1" s="1"/>
  <c r="G216" i="1"/>
  <c r="O34" i="1"/>
  <c r="P34" i="1" s="1"/>
  <c r="N142" i="1"/>
  <c r="K252" i="1"/>
  <c r="K250" i="1" s="1"/>
  <c r="L131" i="1"/>
  <c r="H260" i="1"/>
  <c r="H215" i="1"/>
  <c r="I215" i="1" s="1"/>
  <c r="H179" i="1"/>
  <c r="H181" i="1" s="1"/>
  <c r="H191" i="1"/>
  <c r="N76" i="1"/>
  <c r="N107" i="1"/>
  <c r="N146" i="1" s="1"/>
  <c r="E255" i="1"/>
  <c r="E295" i="1" s="1"/>
  <c r="J271" i="1"/>
  <c r="J301" i="1"/>
  <c r="J160" i="1"/>
  <c r="J152" i="1"/>
  <c r="K245" i="1"/>
  <c r="L237" i="1"/>
  <c r="P75" i="1"/>
  <c r="M45" i="1"/>
  <c r="M46" i="1" s="1"/>
  <c r="N38" i="1"/>
  <c r="K301" i="1"/>
  <c r="K160" i="1"/>
  <c r="K152" i="1"/>
  <c r="G217" i="1"/>
  <c r="G272" i="1"/>
  <c r="G269" i="1" s="1"/>
  <c r="J194" i="1"/>
  <c r="J196" i="1" s="1"/>
  <c r="J235" i="1"/>
  <c r="L144" i="1"/>
  <c r="L61" i="1"/>
  <c r="G202" i="1"/>
  <c r="G198" i="1"/>
  <c r="F306" i="1"/>
  <c r="M140" i="1"/>
  <c r="H164" i="1"/>
  <c r="H273" i="1" s="1"/>
  <c r="O77" i="1"/>
  <c r="I164" i="1"/>
  <c r="Q34" i="1" l="1"/>
  <c r="P142" i="1"/>
  <c r="I264" i="1"/>
  <c r="I309" i="1"/>
  <c r="I273" i="1"/>
  <c r="E231" i="1"/>
  <c r="E229" i="1" s="1"/>
  <c r="E227" i="1" s="1"/>
  <c r="E294" i="1" s="1"/>
  <c r="Q43" i="3"/>
  <c r="J266" i="1" s="1"/>
  <c r="J264" i="1" s="1"/>
  <c r="Q34" i="3"/>
  <c r="Q35" i="3" s="1"/>
  <c r="Q36" i="3" s="1"/>
  <c r="C101" i="3"/>
  <c r="G101" i="3" s="1"/>
  <c r="C102" i="3" s="1"/>
  <c r="G102" i="3" s="1"/>
  <c r="C103" i="3" s="1"/>
  <c r="G103" i="3" s="1"/>
  <c r="C104" i="3" s="1"/>
  <c r="G104" i="3" s="1"/>
  <c r="C105" i="3" s="1"/>
  <c r="G105" i="3" s="1"/>
  <c r="C106" i="3" s="1"/>
  <c r="G106" i="3" s="1"/>
  <c r="C107" i="3" s="1"/>
  <c r="G107" i="3" s="1"/>
  <c r="C108" i="3" s="1"/>
  <c r="G108" i="3" s="1"/>
  <c r="C109" i="3" s="1"/>
  <c r="G109" i="3" s="1"/>
  <c r="C110" i="3" s="1"/>
  <c r="G110" i="3" s="1"/>
  <c r="C111" i="3" s="1"/>
  <c r="G111" i="3" s="1"/>
  <c r="C112" i="3" s="1"/>
  <c r="G112" i="3" s="1"/>
  <c r="R33" i="3"/>
  <c r="E275" i="1"/>
  <c r="G255" i="1"/>
  <c r="G275" i="1" s="1"/>
  <c r="H212" i="1"/>
  <c r="Q75" i="1"/>
  <c r="O142" i="1"/>
  <c r="I303" i="1"/>
  <c r="I166" i="1"/>
  <c r="I167" i="1"/>
  <c r="N45" i="1"/>
  <c r="N46" i="1" s="1"/>
  <c r="O38" i="1"/>
  <c r="J162" i="1"/>
  <c r="M61" i="1"/>
  <c r="M144" i="1"/>
  <c r="L232" i="1"/>
  <c r="L285" i="1" s="1"/>
  <c r="L313" i="1" s="1"/>
  <c r="L193" i="1"/>
  <c r="L65" i="1"/>
  <c r="L174" i="1" s="1"/>
  <c r="K162" i="1"/>
  <c r="K235" i="1"/>
  <c r="K194" i="1"/>
  <c r="K196" i="1" s="1"/>
  <c r="O76" i="1"/>
  <c r="N140" i="1"/>
  <c r="F297" i="1"/>
  <c r="F78" i="1"/>
  <c r="F79" i="1" s="1"/>
  <c r="F73" i="1" s="1"/>
  <c r="F70" i="1" s="1"/>
  <c r="F296" i="1"/>
  <c r="O107" i="1"/>
  <c r="O146" i="1" s="1"/>
  <c r="I202" i="1"/>
  <c r="I198" i="1"/>
  <c r="H303" i="1"/>
  <c r="H167" i="1"/>
  <c r="H166" i="1"/>
  <c r="K302" i="1"/>
  <c r="K314" i="1" s="1"/>
  <c r="K172" i="1"/>
  <c r="K178" i="1" s="1"/>
  <c r="L245" i="1"/>
  <c r="M237" i="1"/>
  <c r="E297" i="1"/>
  <c r="E78" i="1"/>
  <c r="E79" i="1" s="1"/>
  <c r="E73" i="1" s="1"/>
  <c r="E70" i="1" s="1"/>
  <c r="I201" i="1" s="1"/>
  <c r="E296" i="1"/>
  <c r="G221" i="1"/>
  <c r="G223" i="1" s="1"/>
  <c r="F231" i="1"/>
  <c r="F229" i="1" s="1"/>
  <c r="P77" i="1"/>
  <c r="L150" i="1"/>
  <c r="L300" i="1"/>
  <c r="G306" i="1"/>
  <c r="J302" i="1"/>
  <c r="J314" i="1" s="1"/>
  <c r="J309" i="1"/>
  <c r="J172" i="1"/>
  <c r="J178" i="1" s="1"/>
  <c r="K271" i="1"/>
  <c r="H202" i="1"/>
  <c r="H198" i="1"/>
  <c r="L252" i="1"/>
  <c r="L250" i="1" s="1"/>
  <c r="M131" i="1"/>
  <c r="N62" i="1"/>
  <c r="N233" i="1" s="1"/>
  <c r="N63" i="1"/>
  <c r="N259" i="1" s="1"/>
  <c r="F295" i="1"/>
  <c r="O45" i="1" l="1"/>
  <c r="O46" i="1" s="1"/>
  <c r="P38" i="1"/>
  <c r="P63" i="1"/>
  <c r="P259" i="1" s="1"/>
  <c r="P62" i="1"/>
  <c r="R34" i="1"/>
  <c r="Q142" i="1"/>
  <c r="H201" i="1"/>
  <c r="H205" i="1" s="1"/>
  <c r="K199" i="1"/>
  <c r="E286" i="1"/>
  <c r="E284" i="1"/>
  <c r="E287" i="1"/>
  <c r="C113" i="3"/>
  <c r="G113" i="3" s="1"/>
  <c r="C114" i="3" s="1"/>
  <c r="G114" i="3" s="1"/>
  <c r="C115" i="3" s="1"/>
  <c r="G115" i="3" s="1"/>
  <c r="C116" i="3" s="1"/>
  <c r="G116" i="3" s="1"/>
  <c r="C117" i="3" s="1"/>
  <c r="G117" i="3" s="1"/>
  <c r="C118" i="3" s="1"/>
  <c r="G118" i="3" s="1"/>
  <c r="C119" i="3" s="1"/>
  <c r="G119" i="3" s="1"/>
  <c r="C120" i="3" s="1"/>
  <c r="G120" i="3" s="1"/>
  <c r="C121" i="3" s="1"/>
  <c r="G121" i="3" s="1"/>
  <c r="C122" i="3" s="1"/>
  <c r="G122" i="3" s="1"/>
  <c r="C123" i="3" s="1"/>
  <c r="G123" i="3" s="1"/>
  <c r="C124" i="3" s="1"/>
  <c r="G124" i="3" s="1"/>
  <c r="S33" i="3"/>
  <c r="R43" i="3"/>
  <c r="K266" i="1" s="1"/>
  <c r="R34" i="3"/>
  <c r="R35" i="3" s="1"/>
  <c r="R36" i="3" s="1"/>
  <c r="I203" i="1"/>
  <c r="I204" i="1" s="1"/>
  <c r="H203" i="1"/>
  <c r="L271" i="1"/>
  <c r="L301" i="1"/>
  <c r="L160" i="1"/>
  <c r="L152" i="1"/>
  <c r="E315" i="1"/>
  <c r="E304" i="1"/>
  <c r="E305" i="1"/>
  <c r="O140" i="1"/>
  <c r="Q77" i="1"/>
  <c r="M245" i="1"/>
  <c r="N237" i="1"/>
  <c r="P107" i="1"/>
  <c r="P146" i="1" s="1"/>
  <c r="K260" i="1"/>
  <c r="K179" i="1"/>
  <c r="K181" i="1" s="1"/>
  <c r="K212" i="1" s="1"/>
  <c r="K191" i="1"/>
  <c r="O62" i="1"/>
  <c r="O233" i="1" s="1"/>
  <c r="O63" i="1"/>
  <c r="O259" i="1" s="1"/>
  <c r="G231" i="1"/>
  <c r="G229" i="1" s="1"/>
  <c r="H221" i="1"/>
  <c r="M252" i="1"/>
  <c r="M250" i="1" s="1"/>
  <c r="N131" i="1"/>
  <c r="F287" i="1"/>
  <c r="F286" i="1"/>
  <c r="F284" i="1"/>
  <c r="F227" i="1"/>
  <c r="I205" i="1"/>
  <c r="G183" i="1"/>
  <c r="F183" i="1"/>
  <c r="H183" i="1"/>
  <c r="I183" i="1"/>
  <c r="E183" i="1"/>
  <c r="E199" i="1"/>
  <c r="F199" i="1"/>
  <c r="E201" i="1"/>
  <c r="G199" i="1"/>
  <c r="H199" i="1"/>
  <c r="F201" i="1"/>
  <c r="I199" i="1"/>
  <c r="E203" i="1"/>
  <c r="J199" i="1"/>
  <c r="F203" i="1"/>
  <c r="G201" i="1"/>
  <c r="L235" i="1"/>
  <c r="L194" i="1"/>
  <c r="L196" i="1" s="1"/>
  <c r="H272" i="1"/>
  <c r="H269" i="1" s="1"/>
  <c r="H217" i="1"/>
  <c r="P76" i="1"/>
  <c r="K164" i="1"/>
  <c r="M300" i="1"/>
  <c r="M150" i="1"/>
  <c r="J260" i="1"/>
  <c r="J179" i="1"/>
  <c r="J181" i="1" s="1"/>
  <c r="J215" i="1"/>
  <c r="K215" i="1" s="1"/>
  <c r="J191" i="1"/>
  <c r="I261" i="1"/>
  <c r="I257" i="1" s="1"/>
  <c r="G203" i="1"/>
  <c r="H261" i="1"/>
  <c r="H257" i="1" s="1"/>
  <c r="H216" i="1"/>
  <c r="I216" i="1" s="1"/>
  <c r="E277" i="1"/>
  <c r="N61" i="1"/>
  <c r="N144" i="1"/>
  <c r="L199" i="1"/>
  <c r="M232" i="1"/>
  <c r="M285" i="1" s="1"/>
  <c r="M313" i="1" s="1"/>
  <c r="M65" i="1"/>
  <c r="M174" i="1" s="1"/>
  <c r="M193" i="1"/>
  <c r="J164" i="1"/>
  <c r="I272" i="1"/>
  <c r="I269" i="1" s="1"/>
  <c r="R75" i="1"/>
  <c r="G297" i="1"/>
  <c r="G78" i="1"/>
  <c r="G79" i="1" s="1"/>
  <c r="G73" i="1" s="1"/>
  <c r="G70" i="1" s="1"/>
  <c r="G296" i="1"/>
  <c r="G295" i="1"/>
  <c r="Q38" i="1" l="1"/>
  <c r="P45" i="1"/>
  <c r="P46" i="1" s="1"/>
  <c r="P140" i="1"/>
  <c r="P233" i="1"/>
  <c r="Q62" i="1"/>
  <c r="Q233" i="1" s="1"/>
  <c r="Q63" i="1"/>
  <c r="Q259" i="1" s="1"/>
  <c r="S34" i="1"/>
  <c r="R142" i="1"/>
  <c r="J212" i="1"/>
  <c r="K264" i="1"/>
  <c r="K309" i="1"/>
  <c r="H204" i="1"/>
  <c r="H223" i="1"/>
  <c r="H231" i="1" s="1"/>
  <c r="H229" i="1" s="1"/>
  <c r="E204" i="1"/>
  <c r="J183" i="1"/>
  <c r="S43" i="3"/>
  <c r="L266" i="1" s="1"/>
  <c r="L264" i="1" s="1"/>
  <c r="S34" i="3"/>
  <c r="S35" i="3" s="1"/>
  <c r="S36" i="3" s="1"/>
  <c r="C125" i="3"/>
  <c r="G125" i="3" s="1"/>
  <c r="C126" i="3" s="1"/>
  <c r="G126" i="3" s="1"/>
  <c r="C127" i="3" s="1"/>
  <c r="G127" i="3" s="1"/>
  <c r="C128" i="3" s="1"/>
  <c r="G128" i="3" s="1"/>
  <c r="C129" i="3" s="1"/>
  <c r="G129" i="3" s="1"/>
  <c r="C130" i="3" s="1"/>
  <c r="G130" i="3" s="1"/>
  <c r="C131" i="3" s="1"/>
  <c r="G131" i="3" s="1"/>
  <c r="C132" i="3" s="1"/>
  <c r="G132" i="3" s="1"/>
  <c r="C133" i="3" s="1"/>
  <c r="G133" i="3" s="1"/>
  <c r="C134" i="3" s="1"/>
  <c r="G134" i="3" s="1"/>
  <c r="C135" i="3" s="1"/>
  <c r="G135" i="3" s="1"/>
  <c r="C136" i="3" s="1"/>
  <c r="G136" i="3" s="1"/>
  <c r="U33" i="3" s="1"/>
  <c r="T33" i="3"/>
  <c r="S75" i="1"/>
  <c r="G204" i="1"/>
  <c r="K201" i="1"/>
  <c r="K202" i="1"/>
  <c r="K203" i="1" s="1"/>
  <c r="K198" i="1"/>
  <c r="H306" i="1"/>
  <c r="F204" i="1"/>
  <c r="E205" i="1"/>
  <c r="N252" i="1"/>
  <c r="N250" i="1" s="1"/>
  <c r="O131" i="1"/>
  <c r="R77" i="1"/>
  <c r="L302" i="1"/>
  <c r="L314" i="1" s="1"/>
  <c r="L172" i="1"/>
  <c r="L178" i="1" s="1"/>
  <c r="L309" i="1"/>
  <c r="I217" i="1"/>
  <c r="N300" i="1"/>
  <c r="N150" i="1"/>
  <c r="I255" i="1"/>
  <c r="I295" i="1" s="1"/>
  <c r="F205" i="1"/>
  <c r="N245" i="1"/>
  <c r="O237" i="1"/>
  <c r="L162" i="1"/>
  <c r="L164" i="1" s="1"/>
  <c r="M271" i="1"/>
  <c r="J303" i="1"/>
  <c r="J167" i="1"/>
  <c r="J166" i="1"/>
  <c r="J273" i="1"/>
  <c r="K273" i="1" s="1"/>
  <c r="G287" i="1"/>
  <c r="G286" i="1"/>
  <c r="G284" i="1"/>
  <c r="G227" i="1"/>
  <c r="Q107" i="1"/>
  <c r="Q146" i="1" s="1"/>
  <c r="M199" i="1"/>
  <c r="K303" i="1"/>
  <c r="K167" i="1"/>
  <c r="K166" i="1"/>
  <c r="I306" i="1"/>
  <c r="N232" i="1"/>
  <c r="N285" i="1" s="1"/>
  <c r="N313" i="1" s="1"/>
  <c r="N65" i="1"/>
  <c r="N174" i="1" s="1"/>
  <c r="N193" i="1"/>
  <c r="H255" i="1"/>
  <c r="H275" i="1" s="1"/>
  <c r="J202" i="1"/>
  <c r="J203" i="1" s="1"/>
  <c r="J201" i="1"/>
  <c r="J198" i="1"/>
  <c r="M301" i="1"/>
  <c r="M160" i="1"/>
  <c r="M152" i="1"/>
  <c r="Q76" i="1"/>
  <c r="G205" i="1"/>
  <c r="K183" i="1"/>
  <c r="F315" i="1"/>
  <c r="F305" i="1"/>
  <c r="F304" i="1"/>
  <c r="F277" i="1"/>
  <c r="F294" i="1"/>
  <c r="M235" i="1"/>
  <c r="M194" i="1"/>
  <c r="M196" i="1" s="1"/>
  <c r="O144" i="1"/>
  <c r="O61" i="1"/>
  <c r="R63" i="1" l="1"/>
  <c r="R259" i="1" s="1"/>
  <c r="R62" i="1"/>
  <c r="R233" i="1" s="1"/>
  <c r="R38" i="1"/>
  <c r="Q45" i="1"/>
  <c r="Q46" i="1" s="1"/>
  <c r="Q140" i="1"/>
  <c r="T34" i="1"/>
  <c r="S142" i="1"/>
  <c r="P61" i="1"/>
  <c r="P144" i="1"/>
  <c r="I221" i="1"/>
  <c r="I223" i="1" s="1"/>
  <c r="I275" i="1"/>
  <c r="T34" i="3"/>
  <c r="T35" i="3" s="1"/>
  <c r="T36" i="3" s="1"/>
  <c r="T43" i="3"/>
  <c r="M266" i="1" s="1"/>
  <c r="M264" i="1" s="1"/>
  <c r="U34" i="3"/>
  <c r="U35" i="3" s="1"/>
  <c r="U36" i="3" s="1"/>
  <c r="U43" i="3"/>
  <c r="N266" i="1" s="1"/>
  <c r="N264" i="1" s="1"/>
  <c r="H295" i="1"/>
  <c r="N199" i="1"/>
  <c r="J204" i="1"/>
  <c r="J205" i="1"/>
  <c r="J272" i="1"/>
  <c r="J269" i="1" s="1"/>
  <c r="J217" i="1"/>
  <c r="K217" i="1" s="1"/>
  <c r="L303" i="1"/>
  <c r="L167" i="1"/>
  <c r="L166" i="1"/>
  <c r="O252" i="1"/>
  <c r="O250" i="1" s="1"/>
  <c r="P131" i="1"/>
  <c r="O245" i="1"/>
  <c r="P237" i="1"/>
  <c r="K204" i="1"/>
  <c r="K205" i="1"/>
  <c r="T75" i="1"/>
  <c r="R76" i="1"/>
  <c r="K272" i="1"/>
  <c r="K269" i="1" s="1"/>
  <c r="N271" i="1"/>
  <c r="N235" i="1"/>
  <c r="N194" i="1"/>
  <c r="N196" i="1" s="1"/>
  <c r="S77" i="1"/>
  <c r="O300" i="1"/>
  <c r="O150" i="1"/>
  <c r="M302" i="1"/>
  <c r="M314" i="1" s="1"/>
  <c r="M172" i="1"/>
  <c r="M178" i="1" s="1"/>
  <c r="N301" i="1"/>
  <c r="N152" i="1"/>
  <c r="N160" i="1"/>
  <c r="M162" i="1"/>
  <c r="M164" i="1" s="1"/>
  <c r="G315" i="1"/>
  <c r="G305" i="1"/>
  <c r="G304" i="1"/>
  <c r="G277" i="1"/>
  <c r="G294" i="1"/>
  <c r="J261" i="1"/>
  <c r="J257" i="1" s="1"/>
  <c r="J216" i="1"/>
  <c r="K216" i="1" s="1"/>
  <c r="O193" i="1"/>
  <c r="O232" i="1"/>
  <c r="O285" i="1" s="1"/>
  <c r="O313" i="1" s="1"/>
  <c r="O65" i="1"/>
  <c r="O174" i="1" s="1"/>
  <c r="H297" i="1"/>
  <c r="H78" i="1"/>
  <c r="H79" i="1" s="1"/>
  <c r="H73" i="1" s="1"/>
  <c r="H70" i="1" s="1"/>
  <c r="H296" i="1"/>
  <c r="K261" i="1"/>
  <c r="K257" i="1" s="1"/>
  <c r="R107" i="1"/>
  <c r="R146" i="1" s="1"/>
  <c r="L273" i="1"/>
  <c r="L260" i="1"/>
  <c r="L215" i="1"/>
  <c r="L179" i="1"/>
  <c r="L181" i="1" s="1"/>
  <c r="L191" i="1"/>
  <c r="I297" i="1"/>
  <c r="I78" i="1"/>
  <c r="I79" i="1" s="1"/>
  <c r="I73" i="1" s="1"/>
  <c r="I70" i="1" s="1"/>
  <c r="I296" i="1"/>
  <c r="H286" i="1"/>
  <c r="H284" i="1"/>
  <c r="H287" i="1"/>
  <c r="H227" i="1"/>
  <c r="S62" i="1" l="1"/>
  <c r="S233" i="1" s="1"/>
  <c r="S63" i="1"/>
  <c r="S259" i="1" s="1"/>
  <c r="Q61" i="1"/>
  <c r="Q144" i="1"/>
  <c r="P300" i="1"/>
  <c r="P150" i="1"/>
  <c r="U34" i="1"/>
  <c r="T142" i="1"/>
  <c r="R45" i="1"/>
  <c r="R46" i="1" s="1"/>
  <c r="S38" i="1"/>
  <c r="R140" i="1"/>
  <c r="P193" i="1"/>
  <c r="P232" i="1"/>
  <c r="P285" i="1" s="1"/>
  <c r="P313" i="1" s="1"/>
  <c r="P65" i="1"/>
  <c r="P174" i="1" s="1"/>
  <c r="M309" i="1"/>
  <c r="I231" i="1"/>
  <c r="I229" i="1" s="1"/>
  <c r="I284" i="1" s="1"/>
  <c r="J221" i="1"/>
  <c r="J223" i="1" s="1"/>
  <c r="M273" i="1"/>
  <c r="L212" i="1"/>
  <c r="L183" i="1"/>
  <c r="H315" i="1"/>
  <c r="H304" i="1"/>
  <c r="H305" i="1"/>
  <c r="L201" i="1"/>
  <c r="L202" i="1"/>
  <c r="L203" i="1" s="1"/>
  <c r="L198" i="1"/>
  <c r="K306" i="1"/>
  <c r="P252" i="1"/>
  <c r="P250" i="1" s="1"/>
  <c r="Q131" i="1"/>
  <c r="L261" i="1"/>
  <c r="L257" i="1" s="1"/>
  <c r="L216" i="1"/>
  <c r="H277" i="1"/>
  <c r="O199" i="1"/>
  <c r="N172" i="1"/>
  <c r="N178" i="1" s="1"/>
  <c r="N302" i="1"/>
  <c r="N314" i="1" s="1"/>
  <c r="N309" i="1"/>
  <c r="O271" i="1"/>
  <c r="J306" i="1"/>
  <c r="S107" i="1"/>
  <c r="S146" i="1" s="1"/>
  <c r="M260" i="1"/>
  <c r="M179" i="1"/>
  <c r="M181" i="1" s="1"/>
  <c r="M215" i="1"/>
  <c r="M191" i="1"/>
  <c r="O301" i="1"/>
  <c r="O160" i="1"/>
  <c r="O152" i="1"/>
  <c r="T77" i="1"/>
  <c r="S76" i="1"/>
  <c r="O235" i="1"/>
  <c r="O194" i="1"/>
  <c r="O196" i="1" s="1"/>
  <c r="H294" i="1"/>
  <c r="U75" i="1"/>
  <c r="K255" i="1"/>
  <c r="P245" i="1"/>
  <c r="Q237" i="1"/>
  <c r="J255" i="1"/>
  <c r="M303" i="1"/>
  <c r="M167" i="1"/>
  <c r="M166" i="1"/>
  <c r="N162" i="1"/>
  <c r="N164" i="1" s="1"/>
  <c r="L272" i="1"/>
  <c r="L269" i="1" s="1"/>
  <c r="L217" i="1"/>
  <c r="R144" i="1" l="1"/>
  <c r="R61" i="1"/>
  <c r="T62" i="1"/>
  <c r="T233" i="1" s="1"/>
  <c r="T63" i="1"/>
  <c r="T259" i="1" s="1"/>
  <c r="T38" i="1"/>
  <c r="S45" i="1"/>
  <c r="S46" i="1" s="1"/>
  <c r="S140" i="1"/>
  <c r="V34" i="1"/>
  <c r="U142" i="1"/>
  <c r="Q300" i="1"/>
  <c r="Q150" i="1"/>
  <c r="P301" i="1"/>
  <c r="P160" i="1"/>
  <c r="P162" i="1" s="1"/>
  <c r="P152" i="1"/>
  <c r="Q193" i="1"/>
  <c r="Q232" i="1"/>
  <c r="Q285" i="1" s="1"/>
  <c r="Q313" i="1" s="1"/>
  <c r="Q65" i="1"/>
  <c r="Q174" i="1" s="1"/>
  <c r="I286" i="1"/>
  <c r="I287" i="1"/>
  <c r="I227" i="1"/>
  <c r="I277" i="1" s="1"/>
  <c r="N273" i="1"/>
  <c r="M212" i="1"/>
  <c r="M183" i="1"/>
  <c r="L255" i="1"/>
  <c r="L275" i="1" s="1"/>
  <c r="P199" i="1"/>
  <c r="J297" i="1"/>
  <c r="J296" i="1"/>
  <c r="J78" i="1"/>
  <c r="J79" i="1" s="1"/>
  <c r="J73" i="1" s="1"/>
  <c r="J70" i="1" s="1"/>
  <c r="P235" i="1"/>
  <c r="P194" i="1"/>
  <c r="P196" i="1" s="1"/>
  <c r="T76" i="1"/>
  <c r="M202" i="1"/>
  <c r="M203" i="1" s="1"/>
  <c r="M201" i="1"/>
  <c r="M198" i="1"/>
  <c r="J295" i="1"/>
  <c r="K297" i="1"/>
  <c r="K78" i="1"/>
  <c r="K79" i="1" s="1"/>
  <c r="K73" i="1" s="1"/>
  <c r="K70" i="1" s="1"/>
  <c r="K296" i="1"/>
  <c r="J275" i="1"/>
  <c r="Q252" i="1"/>
  <c r="Q250" i="1" s="1"/>
  <c r="R131" i="1"/>
  <c r="K275" i="1"/>
  <c r="N260" i="1"/>
  <c r="N215" i="1"/>
  <c r="N179" i="1"/>
  <c r="N181" i="1" s="1"/>
  <c r="N191" i="1"/>
  <c r="K295" i="1"/>
  <c r="U77" i="1"/>
  <c r="P271" i="1"/>
  <c r="L306" i="1"/>
  <c r="M261" i="1"/>
  <c r="M257" i="1" s="1"/>
  <c r="M216" i="1"/>
  <c r="V75" i="1"/>
  <c r="O162" i="1"/>
  <c r="O164" i="1" s="1"/>
  <c r="K221" i="1"/>
  <c r="K223" i="1" s="1"/>
  <c r="J231" i="1"/>
  <c r="J229" i="1" s="1"/>
  <c r="N303" i="1"/>
  <c r="N166" i="1"/>
  <c r="N167" i="1"/>
  <c r="L204" i="1"/>
  <c r="L205" i="1"/>
  <c r="M272" i="1"/>
  <c r="M269" i="1" s="1"/>
  <c r="M217" i="1"/>
  <c r="Q245" i="1"/>
  <c r="R237" i="1"/>
  <c r="O302" i="1"/>
  <c r="O314" i="1" s="1"/>
  <c r="O172" i="1"/>
  <c r="O178" i="1" s="1"/>
  <c r="O309" i="1"/>
  <c r="T107" i="1"/>
  <c r="T146" i="1" s="1"/>
  <c r="U62" i="1" l="1"/>
  <c r="U233" i="1" s="1"/>
  <c r="U63" i="1"/>
  <c r="U259" i="1" s="1"/>
  <c r="R232" i="1"/>
  <c r="R285" i="1" s="1"/>
  <c r="R313" i="1" s="1"/>
  <c r="R65" i="1"/>
  <c r="R174" i="1" s="1"/>
  <c r="R193" i="1"/>
  <c r="P164" i="1"/>
  <c r="P179" i="1"/>
  <c r="P191" i="1"/>
  <c r="P260" i="1"/>
  <c r="S61" i="1"/>
  <c r="S144" i="1"/>
  <c r="U38" i="1"/>
  <c r="T45" i="1"/>
  <c r="T46" i="1" s="1"/>
  <c r="T140" i="1"/>
  <c r="P172" i="1"/>
  <c r="P178" i="1" s="1"/>
  <c r="P302" i="1"/>
  <c r="P314" i="1" s="1"/>
  <c r="P309" i="1"/>
  <c r="Q301" i="1"/>
  <c r="Q152" i="1"/>
  <c r="Q160" i="1"/>
  <c r="W34" i="1"/>
  <c r="V142" i="1"/>
  <c r="R300" i="1"/>
  <c r="R150" i="1"/>
  <c r="I305" i="1"/>
  <c r="I304" i="1"/>
  <c r="I315" i="1"/>
  <c r="I294" i="1"/>
  <c r="M255" i="1"/>
  <c r="Q271" i="1"/>
  <c r="N202" i="1"/>
  <c r="N203" i="1" s="1"/>
  <c r="N201" i="1"/>
  <c r="N198" i="1"/>
  <c r="U107" i="1"/>
  <c r="U146" i="1" s="1"/>
  <c r="Q194" i="1"/>
  <c r="Q196" i="1" s="1"/>
  <c r="Q235" i="1"/>
  <c r="N272" i="1"/>
  <c r="N269" i="1" s="1"/>
  <c r="N217" i="1"/>
  <c r="O215" i="1"/>
  <c r="O260" i="1"/>
  <c r="O179" i="1"/>
  <c r="O181" i="1" s="1"/>
  <c r="O191" i="1"/>
  <c r="N212" i="1"/>
  <c r="N183" i="1"/>
  <c r="V77" i="1"/>
  <c r="R252" i="1"/>
  <c r="R250" i="1" s="1"/>
  <c r="S131" i="1"/>
  <c r="M204" i="1"/>
  <c r="M205" i="1"/>
  <c r="U76" i="1"/>
  <c r="L297" i="1"/>
  <c r="L78" i="1"/>
  <c r="L79" i="1" s="1"/>
  <c r="L73" i="1" s="1"/>
  <c r="L70" i="1" s="1"/>
  <c r="L296" i="1"/>
  <c r="M306" i="1"/>
  <c r="J287" i="1"/>
  <c r="J286" i="1"/>
  <c r="J284" i="1"/>
  <c r="J227" i="1"/>
  <c r="J277" i="1" s="1"/>
  <c r="W75" i="1"/>
  <c r="R245" i="1"/>
  <c r="S237" i="1"/>
  <c r="N261" i="1"/>
  <c r="N257" i="1" s="1"/>
  <c r="N216" i="1"/>
  <c r="K231" i="1"/>
  <c r="K229" i="1" s="1"/>
  <c r="L221" i="1"/>
  <c r="L223" i="1" s="1"/>
  <c r="O303" i="1"/>
  <c r="O167" i="1"/>
  <c r="O166" i="1"/>
  <c r="Q199" i="1"/>
  <c r="L295" i="1"/>
  <c r="O273" i="1"/>
  <c r="P273" i="1" l="1"/>
  <c r="Q162" i="1"/>
  <c r="Q164" i="1" s="1"/>
  <c r="U45" i="1"/>
  <c r="U46" i="1" s="1"/>
  <c r="V38" i="1"/>
  <c r="U140" i="1"/>
  <c r="Q302" i="1"/>
  <c r="Q314" i="1" s="1"/>
  <c r="Q172" i="1"/>
  <c r="Q178" i="1" s="1"/>
  <c r="Q309" i="1"/>
  <c r="P201" i="1"/>
  <c r="P202" i="1"/>
  <c r="P203" i="1" s="1"/>
  <c r="R160" i="1"/>
  <c r="R162" i="1" s="1"/>
  <c r="R152" i="1"/>
  <c r="R301" i="1"/>
  <c r="X34" i="1"/>
  <c r="W142" i="1"/>
  <c r="S232" i="1"/>
  <c r="S285" i="1" s="1"/>
  <c r="S313" i="1" s="1"/>
  <c r="S65" i="1"/>
  <c r="S174" i="1" s="1"/>
  <c r="S193" i="1"/>
  <c r="P166" i="1"/>
  <c r="P272" i="1" s="1"/>
  <c r="P303" i="1"/>
  <c r="P167" i="1"/>
  <c r="P261" i="1" s="1"/>
  <c r="P257" i="1" s="1"/>
  <c r="P255" i="1" s="1"/>
  <c r="P296" i="1" s="1"/>
  <c r="V62" i="1"/>
  <c r="V233" i="1" s="1"/>
  <c r="V63" i="1"/>
  <c r="V259" i="1" s="1"/>
  <c r="T61" i="1"/>
  <c r="T144" i="1"/>
  <c r="S300" i="1"/>
  <c r="S150" i="1"/>
  <c r="P181" i="1"/>
  <c r="P198" i="1"/>
  <c r="N255" i="1"/>
  <c r="N295" i="1" s="1"/>
  <c r="S245" i="1"/>
  <c r="T237" i="1"/>
  <c r="X75" i="1"/>
  <c r="M297" i="1"/>
  <c r="M78" i="1"/>
  <c r="M79" i="1" s="1"/>
  <c r="M73" i="1" s="1"/>
  <c r="M70" i="1" s="1"/>
  <c r="M296" i="1"/>
  <c r="K287" i="1"/>
  <c r="K286" i="1"/>
  <c r="K284" i="1"/>
  <c r="K227" i="1"/>
  <c r="R235" i="1"/>
  <c r="R194" i="1"/>
  <c r="R196" i="1" s="1"/>
  <c r="J315" i="1"/>
  <c r="J304" i="1"/>
  <c r="J305" i="1"/>
  <c r="J294" i="1"/>
  <c r="O198" i="1"/>
  <c r="O202" i="1"/>
  <c r="O203" i="1" s="1"/>
  <c r="O201" i="1"/>
  <c r="O212" i="1"/>
  <c r="O183" i="1"/>
  <c r="M295" i="1"/>
  <c r="O217" i="1"/>
  <c r="O272" i="1"/>
  <c r="O269" i="1" s="1"/>
  <c r="M275" i="1"/>
  <c r="V76" i="1"/>
  <c r="N306" i="1"/>
  <c r="R271" i="1"/>
  <c r="L231" i="1"/>
  <c r="L229" i="1" s="1"/>
  <c r="M221" i="1"/>
  <c r="M223" i="1" s="1"/>
  <c r="R199" i="1"/>
  <c r="P215" i="1"/>
  <c r="S252" i="1"/>
  <c r="S250" i="1" s="1"/>
  <c r="T131" i="1"/>
  <c r="O261" i="1"/>
  <c r="O257" i="1" s="1"/>
  <c r="O216" i="1"/>
  <c r="W77" i="1"/>
  <c r="V107" i="1"/>
  <c r="V146" i="1" s="1"/>
  <c r="N204" i="1"/>
  <c r="N205" i="1"/>
  <c r="P269" i="1" l="1"/>
  <c r="P78" i="1" s="1"/>
  <c r="P79" i="1" s="1"/>
  <c r="P73" i="1" s="1"/>
  <c r="P70" i="1" s="1"/>
  <c r="Q273" i="1"/>
  <c r="P295" i="1"/>
  <c r="P216" i="1"/>
  <c r="R302" i="1"/>
  <c r="R314" i="1" s="1"/>
  <c r="R172" i="1"/>
  <c r="R178" i="1" s="1"/>
  <c r="R309" i="1"/>
  <c r="Q303" i="1"/>
  <c r="Q166" i="1"/>
  <c r="Q272" i="1" s="1"/>
  <c r="Q167" i="1"/>
  <c r="Q261" i="1" s="1"/>
  <c r="T300" i="1"/>
  <c r="T150" i="1"/>
  <c r="W62" i="1"/>
  <c r="W233" i="1" s="1"/>
  <c r="W63" i="1"/>
  <c r="W259" i="1" s="1"/>
  <c r="Q179" i="1"/>
  <c r="Q181" i="1" s="1"/>
  <c r="Q260" i="1"/>
  <c r="Q191" i="1"/>
  <c r="P183" i="1"/>
  <c r="P212" i="1"/>
  <c r="T232" i="1"/>
  <c r="T285" i="1" s="1"/>
  <c r="T313" i="1" s="1"/>
  <c r="T65" i="1"/>
  <c r="T174" i="1" s="1"/>
  <c r="T193" i="1"/>
  <c r="Q215" i="1"/>
  <c r="R215" i="1" s="1"/>
  <c r="S160" i="1"/>
  <c r="S301" i="1"/>
  <c r="S152" i="1"/>
  <c r="P204" i="1"/>
  <c r="P205" i="1"/>
  <c r="P217" i="1"/>
  <c r="R164" i="1"/>
  <c r="R179" i="1"/>
  <c r="R191" i="1"/>
  <c r="R198" i="1" s="1"/>
  <c r="R260" i="1"/>
  <c r="U61" i="1"/>
  <c r="U144" i="1"/>
  <c r="X142" i="1"/>
  <c r="V45" i="1"/>
  <c r="V46" i="1" s="1"/>
  <c r="W38" i="1"/>
  <c r="V140" i="1"/>
  <c r="O255" i="1"/>
  <c r="O275" i="1" s="1"/>
  <c r="X107" i="1"/>
  <c r="X146" i="1" s="1"/>
  <c r="W107" i="1"/>
  <c r="W146" i="1" s="1"/>
  <c r="S271" i="1"/>
  <c r="S199" i="1"/>
  <c r="N221" i="1"/>
  <c r="N223" i="1" s="1"/>
  <c r="M231" i="1"/>
  <c r="M229" i="1" s="1"/>
  <c r="O306" i="1"/>
  <c r="T245" i="1"/>
  <c r="U237" i="1"/>
  <c r="L287" i="1"/>
  <c r="L286" i="1"/>
  <c r="L227" i="1"/>
  <c r="L284" i="1"/>
  <c r="W76" i="1"/>
  <c r="K315" i="1"/>
  <c r="K305" i="1"/>
  <c r="K304" i="1"/>
  <c r="K294" i="1"/>
  <c r="K277" i="1"/>
  <c r="S235" i="1"/>
  <c r="S194" i="1"/>
  <c r="S196" i="1" s="1"/>
  <c r="O204" i="1"/>
  <c r="O205" i="1"/>
  <c r="N297" i="1"/>
  <c r="N78" i="1"/>
  <c r="N79" i="1" s="1"/>
  <c r="N73" i="1" s="1"/>
  <c r="N70" i="1" s="1"/>
  <c r="N296" i="1"/>
  <c r="X77" i="1"/>
  <c r="T252" i="1"/>
  <c r="T250" i="1" s="1"/>
  <c r="U131" i="1"/>
  <c r="N275" i="1"/>
  <c r="Q269" i="1" l="1"/>
  <c r="Q306" i="1" s="1"/>
  <c r="P297" i="1"/>
  <c r="P306" i="1"/>
  <c r="P275" i="1"/>
  <c r="Q217" i="1"/>
  <c r="Q257" i="1"/>
  <c r="Q255" i="1" s="1"/>
  <c r="Q275" i="1" s="1"/>
  <c r="S172" i="1"/>
  <c r="S178" i="1" s="1"/>
  <c r="S309" i="1"/>
  <c r="S302" i="1"/>
  <c r="S314" i="1" s="1"/>
  <c r="Q216" i="1"/>
  <c r="U232" i="1"/>
  <c r="U285" i="1" s="1"/>
  <c r="U313" i="1" s="1"/>
  <c r="U65" i="1"/>
  <c r="U174" i="1" s="1"/>
  <c r="U193" i="1"/>
  <c r="R303" i="1"/>
  <c r="R167" i="1"/>
  <c r="R261" i="1" s="1"/>
  <c r="R257" i="1" s="1"/>
  <c r="R255" i="1" s="1"/>
  <c r="R295" i="1" s="1"/>
  <c r="R166" i="1"/>
  <c r="R272" i="1" s="1"/>
  <c r="Q212" i="1"/>
  <c r="Q183" i="1"/>
  <c r="R273" i="1"/>
  <c r="V144" i="1"/>
  <c r="V61" i="1"/>
  <c r="X63" i="1"/>
  <c r="X259" i="1" s="1"/>
  <c r="X62" i="1"/>
  <c r="X233" i="1" s="1"/>
  <c r="R202" i="1"/>
  <c r="R203" i="1" s="1"/>
  <c r="R201" i="1"/>
  <c r="Q202" i="1"/>
  <c r="Q203" i="1" s="1"/>
  <c r="Q201" i="1"/>
  <c r="Q198" i="1"/>
  <c r="W45" i="1"/>
  <c r="W46" i="1" s="1"/>
  <c r="X38" i="1"/>
  <c r="W140" i="1"/>
  <c r="U300" i="1"/>
  <c r="U150" i="1"/>
  <c r="R181" i="1"/>
  <c r="S162" i="1"/>
  <c r="S164" i="1" s="1"/>
  <c r="T152" i="1"/>
  <c r="T160" i="1"/>
  <c r="T162" i="1" s="1"/>
  <c r="T301" i="1"/>
  <c r="V131" i="1"/>
  <c r="U252" i="1"/>
  <c r="U250" i="1" s="1"/>
  <c r="X76" i="1"/>
  <c r="U245" i="1"/>
  <c r="V237" i="1"/>
  <c r="M287" i="1"/>
  <c r="M286" i="1"/>
  <c r="M227" i="1"/>
  <c r="M284" i="1"/>
  <c r="O297" i="1"/>
  <c r="O78" i="1"/>
  <c r="O79" i="1" s="1"/>
  <c r="O73" i="1" s="1"/>
  <c r="O70" i="1" s="1"/>
  <c r="O296" i="1"/>
  <c r="T199" i="1"/>
  <c r="L315" i="1"/>
  <c r="L305" i="1"/>
  <c r="L304" i="1"/>
  <c r="L294" i="1"/>
  <c r="L277" i="1"/>
  <c r="T235" i="1"/>
  <c r="T194" i="1"/>
  <c r="T196" i="1" s="1"/>
  <c r="O221" i="1"/>
  <c r="O223" i="1" s="1"/>
  <c r="N231" i="1"/>
  <c r="N229" i="1" s="1"/>
  <c r="T271" i="1"/>
  <c r="O295" i="1"/>
  <c r="Q297" i="1" l="1"/>
  <c r="R296" i="1"/>
  <c r="S215" i="1"/>
  <c r="T215" i="1" s="1"/>
  <c r="R217" i="1"/>
  <c r="R216" i="1"/>
  <c r="Q296" i="1"/>
  <c r="Q295" i="1"/>
  <c r="Q78" i="1"/>
  <c r="Q79" i="1" s="1"/>
  <c r="Q73" i="1" s="1"/>
  <c r="Q70" i="1" s="1"/>
  <c r="T172" i="1"/>
  <c r="T178" i="1" s="1"/>
  <c r="T309" i="1"/>
  <c r="T302" i="1"/>
  <c r="T314" i="1" s="1"/>
  <c r="T164" i="1"/>
  <c r="T260" i="1"/>
  <c r="T179" i="1"/>
  <c r="T191" i="1"/>
  <c r="T198" i="1" s="1"/>
  <c r="R212" i="1"/>
  <c r="R183" i="1"/>
  <c r="X45" i="1"/>
  <c r="X46" i="1" s="1"/>
  <c r="X140" i="1"/>
  <c r="S273" i="1"/>
  <c r="U301" i="1"/>
  <c r="U160" i="1"/>
  <c r="U152" i="1"/>
  <c r="R204" i="1"/>
  <c r="R205" i="1"/>
  <c r="V65" i="1"/>
  <c r="V174" i="1" s="1"/>
  <c r="V193" i="1"/>
  <c r="V232" i="1"/>
  <c r="V285" i="1" s="1"/>
  <c r="V313" i="1" s="1"/>
  <c r="S303" i="1"/>
  <c r="S166" i="1"/>
  <c r="S167" i="1"/>
  <c r="V300" i="1"/>
  <c r="V150" i="1"/>
  <c r="S191" i="1"/>
  <c r="S260" i="1"/>
  <c r="S179" i="1"/>
  <c r="S181" i="1" s="1"/>
  <c r="W61" i="1"/>
  <c r="W144" i="1"/>
  <c r="Q204" i="1"/>
  <c r="Q205" i="1"/>
  <c r="R269" i="1"/>
  <c r="U199" i="1"/>
  <c r="M315" i="1"/>
  <c r="M305" i="1"/>
  <c r="M304" i="1"/>
  <c r="M294" i="1"/>
  <c r="M277" i="1"/>
  <c r="V252" i="1"/>
  <c r="V250" i="1" s="1"/>
  <c r="W131" i="1"/>
  <c r="N287" i="1"/>
  <c r="N286" i="1"/>
  <c r="N284" i="1"/>
  <c r="N227" i="1"/>
  <c r="U271" i="1"/>
  <c r="U235" i="1"/>
  <c r="U194" i="1"/>
  <c r="U196" i="1" s="1"/>
  <c r="O231" i="1"/>
  <c r="O229" i="1" s="1"/>
  <c r="P221" i="1"/>
  <c r="P223" i="1" s="1"/>
  <c r="V245" i="1"/>
  <c r="W237" i="1"/>
  <c r="T181" i="1" l="1"/>
  <c r="T212" i="1" s="1"/>
  <c r="T273" i="1"/>
  <c r="W300" i="1"/>
  <c r="W150" i="1"/>
  <c r="S201" i="1"/>
  <c r="S202" i="1"/>
  <c r="S203" i="1" s="1"/>
  <c r="S198" i="1"/>
  <c r="S216" i="1"/>
  <c r="S261" i="1"/>
  <c r="S257" i="1" s="1"/>
  <c r="S255" i="1" s="1"/>
  <c r="S295" i="1" s="1"/>
  <c r="U309" i="1"/>
  <c r="U172" i="1"/>
  <c r="U178" i="1" s="1"/>
  <c r="U302" i="1"/>
  <c r="U314" i="1" s="1"/>
  <c r="X61" i="1"/>
  <c r="X144" i="1"/>
  <c r="T201" i="1"/>
  <c r="T202" i="1"/>
  <c r="T203" i="1" s="1"/>
  <c r="R275" i="1"/>
  <c r="R306" i="1"/>
  <c r="R78" i="1"/>
  <c r="R79" i="1" s="1"/>
  <c r="R73" i="1" s="1"/>
  <c r="R70" i="1" s="1"/>
  <c r="R297" i="1"/>
  <c r="W232" i="1"/>
  <c r="W285" i="1" s="1"/>
  <c r="W313" i="1" s="1"/>
  <c r="W193" i="1"/>
  <c r="W65" i="1"/>
  <c r="W174" i="1" s="1"/>
  <c r="S272" i="1"/>
  <c r="S269" i="1" s="1"/>
  <c r="S306" i="1" s="1"/>
  <c r="S217" i="1"/>
  <c r="U162" i="1"/>
  <c r="U164" i="1" s="1"/>
  <c r="V160" i="1"/>
  <c r="V162" i="1" s="1"/>
  <c r="V301" i="1"/>
  <c r="V152" i="1"/>
  <c r="T166" i="1"/>
  <c r="T272" i="1" s="1"/>
  <c r="T303" i="1"/>
  <c r="T167" i="1"/>
  <c r="S212" i="1"/>
  <c r="S183" i="1"/>
  <c r="V194" i="1"/>
  <c r="V196" i="1" s="1"/>
  <c r="V235" i="1"/>
  <c r="V271" i="1"/>
  <c r="O287" i="1"/>
  <c r="O286" i="1"/>
  <c r="O284" i="1"/>
  <c r="O227" i="1"/>
  <c r="W245" i="1"/>
  <c r="X237" i="1"/>
  <c r="X245" i="1" s="1"/>
  <c r="P231" i="1"/>
  <c r="P229" i="1" s="1"/>
  <c r="Q221" i="1"/>
  <c r="Q223" i="1" s="1"/>
  <c r="V199" i="1"/>
  <c r="N315" i="1"/>
  <c r="N305" i="1"/>
  <c r="N304" i="1"/>
  <c r="N294" i="1"/>
  <c r="N277" i="1"/>
  <c r="W252" i="1"/>
  <c r="W250" i="1" s="1"/>
  <c r="X131" i="1"/>
  <c r="X252" i="1" s="1"/>
  <c r="X250" i="1" s="1"/>
  <c r="T183" i="1" l="1"/>
  <c r="T269" i="1"/>
  <c r="T306" i="1" s="1"/>
  <c r="T217" i="1"/>
  <c r="X65" i="1"/>
  <c r="X174" i="1" s="1"/>
  <c r="X193" i="1"/>
  <c r="X232" i="1"/>
  <c r="X285" i="1" s="1"/>
  <c r="X313" i="1" s="1"/>
  <c r="S204" i="1"/>
  <c r="S205" i="1"/>
  <c r="S296" i="1"/>
  <c r="T261" i="1"/>
  <c r="T257" i="1" s="1"/>
  <c r="T255" i="1" s="1"/>
  <c r="T216" i="1"/>
  <c r="V309" i="1"/>
  <c r="V172" i="1"/>
  <c r="V178" i="1" s="1"/>
  <c r="V302" i="1"/>
  <c r="V314" i="1" s="1"/>
  <c r="W301" i="1"/>
  <c r="W160" i="1"/>
  <c r="W152" i="1"/>
  <c r="S78" i="1"/>
  <c r="S79" i="1" s="1"/>
  <c r="S73" i="1" s="1"/>
  <c r="S70" i="1" s="1"/>
  <c r="S275" i="1"/>
  <c r="U273" i="1"/>
  <c r="U166" i="1"/>
  <c r="U303" i="1"/>
  <c r="U167" i="1"/>
  <c r="S297" i="1"/>
  <c r="V164" i="1"/>
  <c r="V179" i="1"/>
  <c r="V260" i="1"/>
  <c r="V191" i="1"/>
  <c r="V198" i="1" s="1"/>
  <c r="U260" i="1"/>
  <c r="U179" i="1"/>
  <c r="U181" i="1" s="1"/>
  <c r="U191" i="1"/>
  <c r="U215" i="1"/>
  <c r="V215" i="1" s="1"/>
  <c r="X300" i="1"/>
  <c r="X150" i="1"/>
  <c r="T204" i="1"/>
  <c r="T205" i="1"/>
  <c r="Q231" i="1"/>
  <c r="Q229" i="1" s="1"/>
  <c r="R221" i="1"/>
  <c r="R223" i="1" s="1"/>
  <c r="W199" i="1"/>
  <c r="X235" i="1"/>
  <c r="X194" i="1"/>
  <c r="O315" i="1"/>
  <c r="O305" i="1"/>
  <c r="O304" i="1"/>
  <c r="O277" i="1"/>
  <c r="O294" i="1"/>
  <c r="W271" i="1"/>
  <c r="P286" i="1"/>
  <c r="P284" i="1"/>
  <c r="P227" i="1"/>
  <c r="P287" i="1"/>
  <c r="W235" i="1"/>
  <c r="W194" i="1"/>
  <c r="W196" i="1" s="1"/>
  <c r="V181" i="1" l="1"/>
  <c r="V212" i="1" s="1"/>
  <c r="U183" i="1"/>
  <c r="U212" i="1"/>
  <c r="U272" i="1"/>
  <c r="U269" i="1" s="1"/>
  <c r="U306" i="1" s="1"/>
  <c r="U217" i="1"/>
  <c r="X196" i="1"/>
  <c r="U202" i="1"/>
  <c r="U203" i="1" s="1"/>
  <c r="U201" i="1"/>
  <c r="U198" i="1"/>
  <c r="U261" i="1"/>
  <c r="U257" i="1" s="1"/>
  <c r="U255" i="1" s="1"/>
  <c r="U296" i="1" s="1"/>
  <c r="U216" i="1"/>
  <c r="X301" i="1"/>
  <c r="X152" i="1"/>
  <c r="X160" i="1"/>
  <c r="X162" i="1" s="1"/>
  <c r="X191" i="1" s="1"/>
  <c r="T295" i="1"/>
  <c r="T78" i="1"/>
  <c r="T79" i="1" s="1"/>
  <c r="T73" i="1" s="1"/>
  <c r="T70" i="1" s="1"/>
  <c r="T275" i="1"/>
  <c r="T297" i="1"/>
  <c r="T296" i="1"/>
  <c r="V166" i="1"/>
  <c r="V272" i="1" s="1"/>
  <c r="V303" i="1"/>
  <c r="V167" i="1"/>
  <c r="V261" i="1" s="1"/>
  <c r="V257" i="1" s="1"/>
  <c r="V255" i="1" s="1"/>
  <c r="V295" i="1" s="1"/>
  <c r="W309" i="1"/>
  <c r="W302" i="1"/>
  <c r="W314" i="1" s="1"/>
  <c r="W172" i="1"/>
  <c r="W178" i="1" s="1"/>
  <c r="V202" i="1"/>
  <c r="V203" i="1" s="1"/>
  <c r="V201" i="1"/>
  <c r="V273" i="1"/>
  <c r="W162" i="1"/>
  <c r="W164" i="1" s="1"/>
  <c r="U295" i="1"/>
  <c r="X271" i="1"/>
  <c r="S221" i="1"/>
  <c r="S223" i="1" s="1"/>
  <c r="R231" i="1"/>
  <c r="R229" i="1" s="1"/>
  <c r="X199" i="1"/>
  <c r="P315" i="1"/>
  <c r="P305" i="1"/>
  <c r="P304" i="1"/>
  <c r="P294" i="1"/>
  <c r="P277" i="1"/>
  <c r="Q286" i="1"/>
  <c r="Q284" i="1"/>
  <c r="Q227" i="1"/>
  <c r="Q287" i="1"/>
  <c r="V183" i="1" l="1"/>
  <c r="X202" i="1"/>
  <c r="X203" i="1" s="1"/>
  <c r="X201" i="1"/>
  <c r="X205" i="1" s="1"/>
  <c r="U297" i="1"/>
  <c r="U275" i="1"/>
  <c r="V217" i="1"/>
  <c r="V216" i="1"/>
  <c r="U78" i="1"/>
  <c r="U79" i="1" s="1"/>
  <c r="U73" i="1" s="1"/>
  <c r="U70" i="1" s="1"/>
  <c r="W166" i="1"/>
  <c r="W303" i="1"/>
  <c r="W167" i="1"/>
  <c r="W191" i="1"/>
  <c r="W215" i="1"/>
  <c r="X215" i="1" s="1"/>
  <c r="W260" i="1"/>
  <c r="W179" i="1"/>
  <c r="W181" i="1" s="1"/>
  <c r="X164" i="1"/>
  <c r="X260" i="1"/>
  <c r="X179" i="1"/>
  <c r="X198" i="1"/>
  <c r="V296" i="1"/>
  <c r="W273" i="1"/>
  <c r="V269" i="1"/>
  <c r="X172" i="1"/>
  <c r="X178" i="1" s="1"/>
  <c r="X309" i="1"/>
  <c r="X302" i="1"/>
  <c r="X314" i="1" s="1"/>
  <c r="V204" i="1"/>
  <c r="V205" i="1"/>
  <c r="U204" i="1"/>
  <c r="U205" i="1"/>
  <c r="R287" i="1"/>
  <c r="R286" i="1"/>
  <c r="R284" i="1"/>
  <c r="R227" i="1"/>
  <c r="S231" i="1"/>
  <c r="S229" i="1" s="1"/>
  <c r="T221" i="1"/>
  <c r="T223" i="1" s="1"/>
  <c r="Q315" i="1"/>
  <c r="Q305" i="1"/>
  <c r="Q304" i="1"/>
  <c r="Q277" i="1"/>
  <c r="Q294" i="1"/>
  <c r="X204" i="1" l="1"/>
  <c r="X273" i="1"/>
  <c r="W272" i="1"/>
  <c r="W269" i="1" s="1"/>
  <c r="W306" i="1" s="1"/>
  <c r="W217" i="1"/>
  <c r="X166" i="1"/>
  <c r="X272" i="1" s="1"/>
  <c r="X303" i="1"/>
  <c r="X167" i="1"/>
  <c r="X261" i="1" s="1"/>
  <c r="X257" i="1" s="1"/>
  <c r="W202" i="1"/>
  <c r="W203" i="1" s="1"/>
  <c r="W201" i="1"/>
  <c r="W198" i="1"/>
  <c r="W212" i="1"/>
  <c r="W183" i="1"/>
  <c r="W261" i="1"/>
  <c r="W257" i="1" s="1"/>
  <c r="W255" i="1" s="1"/>
  <c r="W295" i="1" s="1"/>
  <c r="W216" i="1"/>
  <c r="V275" i="1"/>
  <c r="V78" i="1"/>
  <c r="V79" i="1" s="1"/>
  <c r="V73" i="1" s="1"/>
  <c r="V70" i="1" s="1"/>
  <c r="V306" i="1"/>
  <c r="V297" i="1"/>
  <c r="X181" i="1"/>
  <c r="C185" i="1" s="1"/>
  <c r="T231" i="1"/>
  <c r="T229" i="1" s="1"/>
  <c r="U221" i="1"/>
  <c r="U223" i="1" s="1"/>
  <c r="R315" i="1"/>
  <c r="R305" i="1"/>
  <c r="R304" i="1"/>
  <c r="R294" i="1"/>
  <c r="R277" i="1"/>
  <c r="S287" i="1"/>
  <c r="S286" i="1"/>
  <c r="S284" i="1"/>
  <c r="S227" i="1"/>
  <c r="X217" i="1" l="1"/>
  <c r="W297" i="1"/>
  <c r="X216" i="1"/>
  <c r="W78" i="1"/>
  <c r="W79" i="1" s="1"/>
  <c r="W73" i="1" s="1"/>
  <c r="W70" i="1" s="1"/>
  <c r="X269" i="1"/>
  <c r="X306" i="1" s="1"/>
  <c r="X255" i="1"/>
  <c r="X295" i="1" s="1"/>
  <c r="W296" i="1"/>
  <c r="W275" i="1"/>
  <c r="W204" i="1"/>
  <c r="W205" i="1"/>
  <c r="C207" i="1" s="1"/>
  <c r="X183" i="1"/>
  <c r="C186" i="1" s="1"/>
  <c r="X212" i="1"/>
  <c r="U231" i="1"/>
  <c r="U229" i="1" s="1"/>
  <c r="V221" i="1"/>
  <c r="V223" i="1" s="1"/>
  <c r="T287" i="1"/>
  <c r="T284" i="1"/>
  <c r="T286" i="1"/>
  <c r="T227" i="1"/>
  <c r="S315" i="1"/>
  <c r="S305" i="1"/>
  <c r="S304" i="1"/>
  <c r="S277" i="1"/>
  <c r="S294" i="1"/>
  <c r="C187" i="1" l="1"/>
  <c r="C1" i="1" s="1"/>
  <c r="C208" i="1"/>
  <c r="X296" i="1"/>
  <c r="X297" i="1"/>
  <c r="X78" i="1"/>
  <c r="X79" i="1" s="1"/>
  <c r="X73" i="1" s="1"/>
  <c r="X70" i="1" s="1"/>
  <c r="X275" i="1"/>
  <c r="T315" i="1"/>
  <c r="T305" i="1"/>
  <c r="T304" i="1"/>
  <c r="T294" i="1"/>
  <c r="T277" i="1"/>
  <c r="V231" i="1"/>
  <c r="V229" i="1" s="1"/>
  <c r="W221" i="1"/>
  <c r="W223" i="1" s="1"/>
  <c r="U287" i="1"/>
  <c r="U284" i="1"/>
  <c r="U227" i="1"/>
  <c r="U286" i="1"/>
  <c r="U315" i="1" l="1"/>
  <c r="U305" i="1"/>
  <c r="U304" i="1"/>
  <c r="U294" i="1"/>
  <c r="U277" i="1"/>
  <c r="V287" i="1"/>
  <c r="V286" i="1"/>
  <c r="V284" i="1"/>
  <c r="V227" i="1"/>
  <c r="W231" i="1"/>
  <c r="W229" i="1" s="1"/>
  <c r="X221" i="1"/>
  <c r="X223" i="1" s="1"/>
  <c r="X231" i="1" s="1"/>
  <c r="X229" i="1" s="1"/>
  <c r="X286" i="1" l="1"/>
  <c r="X284" i="1"/>
  <c r="X287" i="1"/>
  <c r="X227" i="1"/>
  <c r="W287" i="1"/>
  <c r="W286" i="1"/>
  <c r="W284" i="1"/>
  <c r="W227" i="1"/>
  <c r="V315" i="1"/>
  <c r="V305" i="1"/>
  <c r="V304" i="1"/>
  <c r="V294" i="1"/>
  <c r="V277" i="1"/>
  <c r="W315" i="1" l="1"/>
  <c r="W305" i="1"/>
  <c r="W304" i="1"/>
  <c r="W277" i="1"/>
  <c r="W294" i="1"/>
  <c r="X315" i="1"/>
  <c r="X305" i="1"/>
  <c r="X304" i="1"/>
  <c r="X294" i="1"/>
  <c r="X277" i="1"/>
</calcChain>
</file>

<file path=xl/sharedStrings.xml><?xml version="1.0" encoding="utf-8"?>
<sst xmlns="http://schemas.openxmlformats.org/spreadsheetml/2006/main" count="399" uniqueCount="291">
  <si>
    <t>Porción activa</t>
  </si>
  <si>
    <t>Evaluación Financiera</t>
  </si>
  <si>
    <t>Nombre del PY:</t>
  </si>
  <si>
    <t>Supuestos de valoración</t>
  </si>
  <si>
    <t>Horizonte de tiempo</t>
  </si>
  <si>
    <t>1. Supuestos Macroeconómicos</t>
  </si>
  <si>
    <t>Inflación</t>
  </si>
  <si>
    <t>Inflación Acum</t>
  </si>
  <si>
    <t>Tasa impositiva de renta</t>
  </si>
  <si>
    <t>2. Supuestos Comerciales</t>
  </si>
  <si>
    <t>Estimación de la demanda</t>
  </si>
  <si>
    <t>Crec. Demanda %</t>
  </si>
  <si>
    <t>Precios unitarios</t>
  </si>
  <si>
    <t>Crec. Precios</t>
  </si>
  <si>
    <t>Costos unitarios</t>
  </si>
  <si>
    <t>Margen Bruto unitario</t>
  </si>
  <si>
    <t>Mgn %</t>
  </si>
  <si>
    <t>3. Supuestos de Capital de Trabajo</t>
  </si>
  <si>
    <t>Dias</t>
  </si>
  <si>
    <t>Cartera</t>
  </si>
  <si>
    <t>Inventarios</t>
  </si>
  <si>
    <t>Proveedores</t>
  </si>
  <si>
    <t>Rotación Veces</t>
  </si>
  <si>
    <t>Necesidades de WK</t>
  </si>
  <si>
    <t xml:space="preserve"> (+/-) Inversión en WK</t>
  </si>
  <si>
    <t>4. Supuestos Financieros</t>
  </si>
  <si>
    <t>Tasa de descuento</t>
  </si>
  <si>
    <t>WACC</t>
  </si>
  <si>
    <t>Tasa de Oportunidad</t>
  </si>
  <si>
    <t>RF (Tasa Libre de Riesgo Col) - TES</t>
  </si>
  <si>
    <t>RM (Tasa de Rentabilidad Mercado Bursátil) - IGBC</t>
  </si>
  <si>
    <t>Beta desapalancado del sector</t>
  </si>
  <si>
    <t>Relación Deuda / Patrimonio</t>
  </si>
  <si>
    <t>Beta Apalancado</t>
  </si>
  <si>
    <t>Estructura de Capital</t>
  </si>
  <si>
    <t>Pasivo</t>
  </si>
  <si>
    <t>Recursos Propios</t>
  </si>
  <si>
    <t>% Pago Dividendos anuales</t>
  </si>
  <si>
    <t>Condición del préstamo</t>
  </si>
  <si>
    <t>Tasa Efectiva Anual</t>
  </si>
  <si>
    <t>Tipo de amortización</t>
  </si>
  <si>
    <t>Francés o de Instalamentos</t>
  </si>
  <si>
    <t>Tabla de amortización del préstamo</t>
  </si>
  <si>
    <t>5. Supuestos Gastos Operacionales</t>
  </si>
  <si>
    <t>Personal</t>
  </si>
  <si>
    <t>Seguros</t>
  </si>
  <si>
    <t>Servicios Públicos</t>
  </si>
  <si>
    <t>Aseo y cafetería</t>
  </si>
  <si>
    <t>Papelería</t>
  </si>
  <si>
    <t>Combustibles y Lubricantes</t>
  </si>
  <si>
    <t>Otros</t>
  </si>
  <si>
    <t>Depreciaciones y Amortizaciones</t>
  </si>
  <si>
    <t>Total Gastos Operacionales</t>
  </si>
  <si>
    <t>6. Supuestos de Inversión</t>
  </si>
  <si>
    <t>Capex</t>
  </si>
  <si>
    <t>Vida útil</t>
  </si>
  <si>
    <t>Terrenos</t>
  </si>
  <si>
    <t>Equipo de cómputo</t>
  </si>
  <si>
    <t>Equipo de Laboratorio</t>
  </si>
  <si>
    <t>Maquinaria y Equipo de Producción</t>
  </si>
  <si>
    <t>Flota y Equipo de Transporte</t>
  </si>
  <si>
    <t>Herramientas</t>
  </si>
  <si>
    <t>Muebles y Enseres</t>
  </si>
  <si>
    <t>Construcciones</t>
  </si>
  <si>
    <t>Total Capex</t>
  </si>
  <si>
    <t>Valorización del Terreno</t>
  </si>
  <si>
    <t>Valorización del Terreno (P&amp;G)</t>
  </si>
  <si>
    <t>Gastos Preoperativos</t>
  </si>
  <si>
    <t>Estudio de prefactibilidad</t>
  </si>
  <si>
    <t>Licencias y permisos</t>
  </si>
  <si>
    <t>Total Gastos Preoperativos</t>
  </si>
  <si>
    <t>Estados Financieros</t>
  </si>
  <si>
    <t>P&amp;G</t>
  </si>
  <si>
    <t>Ingresos Operacionales</t>
  </si>
  <si>
    <t>Costos de Venta</t>
  </si>
  <si>
    <t>Utilidad Bruta</t>
  </si>
  <si>
    <t>Gastos Operacionales</t>
  </si>
  <si>
    <t>Depreciaciones &amp; Amortizaciones</t>
  </si>
  <si>
    <t>Utilidad Operacional</t>
  </si>
  <si>
    <t>EBITDA</t>
  </si>
  <si>
    <t>Ingresos no operacionales</t>
  </si>
  <si>
    <t>Utilidad en venta de terreno</t>
  </si>
  <si>
    <t>Gastos no operacionales</t>
  </si>
  <si>
    <t>Intereses financieros</t>
  </si>
  <si>
    <t>Utilidad antes de Impuestos</t>
  </si>
  <si>
    <t>Impuesto de renta</t>
  </si>
  <si>
    <t>Utilidad Neta</t>
  </si>
  <si>
    <t>Reserva Legal (10%)</t>
  </si>
  <si>
    <t>Dividendos</t>
  </si>
  <si>
    <t>Flujo de Caja Libre</t>
  </si>
  <si>
    <t xml:space="preserve"> (+/-) Inversión en Capital de Trabajo</t>
  </si>
  <si>
    <t xml:space="preserve"> (-) Capex</t>
  </si>
  <si>
    <t xml:space="preserve"> (-) Gastos Preoperativos</t>
  </si>
  <si>
    <t>Flujo de Caja Operacional</t>
  </si>
  <si>
    <t xml:space="preserve"> (-) Impuestos</t>
  </si>
  <si>
    <t>TIR</t>
  </si>
  <si>
    <t>VPN</t>
  </si>
  <si>
    <t>Check VPN EVA vs VPN FCL</t>
  </si>
  <si>
    <t>EVA</t>
  </si>
  <si>
    <t>NOPAT</t>
  </si>
  <si>
    <t>Capital de Trabajo Neto</t>
  </si>
  <si>
    <t>Activo Fijo Neto</t>
  </si>
  <si>
    <t>Capital Invertido</t>
  </si>
  <si>
    <t>ROIC</t>
  </si>
  <si>
    <t>Cobro por capital</t>
  </si>
  <si>
    <t>EVA Descontado</t>
  </si>
  <si>
    <t>VPN EVA</t>
  </si>
  <si>
    <t>Saldo final de Caja</t>
  </si>
  <si>
    <t xml:space="preserve"> (-) intereses</t>
  </si>
  <si>
    <t xml:space="preserve"> (-) abono capital</t>
  </si>
  <si>
    <t xml:space="preserve"> (+) impuestos recaudado</t>
  </si>
  <si>
    <t xml:space="preserve"> (+) dividendos retenidos</t>
  </si>
  <si>
    <t xml:space="preserve"> (+) reserva legal</t>
  </si>
  <si>
    <t>Capital inicial</t>
  </si>
  <si>
    <t>Caja Inicial</t>
  </si>
  <si>
    <t>Saldo Final de Caja</t>
  </si>
  <si>
    <t>Balance General</t>
  </si>
  <si>
    <t>Activos</t>
  </si>
  <si>
    <t xml:space="preserve">Activo Corriente </t>
  </si>
  <si>
    <t>Caja</t>
  </si>
  <si>
    <t>Activo Fijo Depreciable</t>
  </si>
  <si>
    <t>Activos Diferidos</t>
  </si>
  <si>
    <t>Pasivos</t>
  </si>
  <si>
    <t>Pasivo Corriente</t>
  </si>
  <si>
    <t>Cuentas por Pagar Proveedores</t>
  </si>
  <si>
    <t>Impuestos por pagar</t>
  </si>
  <si>
    <t>Dividendos por pagar</t>
  </si>
  <si>
    <t>Pasivo No Corriente</t>
  </si>
  <si>
    <t>Obligaciones financieras de LP</t>
  </si>
  <si>
    <t>Patrimonio</t>
  </si>
  <si>
    <t>Capital Social</t>
  </si>
  <si>
    <t>Reserva Legal</t>
  </si>
  <si>
    <t>Total Pasivo y Patrimonio</t>
  </si>
  <si>
    <t>Check</t>
  </si>
  <si>
    <t>Indicadores</t>
  </si>
  <si>
    <t>Liquidez</t>
  </si>
  <si>
    <t>Capital Neto de Trabajo</t>
  </si>
  <si>
    <t>Capital Neto de Trabajo Operativo</t>
  </si>
  <si>
    <t>Razon Corriente</t>
  </si>
  <si>
    <t>Prueba Acída</t>
  </si>
  <si>
    <t>Dias de Inventario</t>
  </si>
  <si>
    <t>Rotación de Inventarios</t>
  </si>
  <si>
    <t>Dias de Cartera</t>
  </si>
  <si>
    <t>Rotación de Cartera</t>
  </si>
  <si>
    <t>Endeudamiento</t>
  </si>
  <si>
    <t>Razón de Endeudamiento</t>
  </si>
  <si>
    <t>Concentración de endeudamiento a Corto Plazo</t>
  </si>
  <si>
    <t>Concentración de endeudamiento a Largo Plazo</t>
  </si>
  <si>
    <t>Razón Pasivo Capital</t>
  </si>
  <si>
    <t>Rentabilidad</t>
  </si>
  <si>
    <t>Margen Bruto de Utilidad</t>
  </si>
  <si>
    <t>Margen Operacional</t>
  </si>
  <si>
    <t>Margen Ebitda</t>
  </si>
  <si>
    <t>Margen Neto</t>
  </si>
  <si>
    <t>ROA</t>
  </si>
  <si>
    <t>ROE</t>
  </si>
  <si>
    <t>Deuda Financiera / EBITDA</t>
  </si>
  <si>
    <t>Operativos y Financieros</t>
  </si>
  <si>
    <t>Productividad del Capital de Trabajo (PKT)</t>
  </si>
  <si>
    <t>Palanca de Crecimiento (PDC)</t>
  </si>
  <si>
    <t>Productividad del Activo Fijo</t>
  </si>
  <si>
    <t>Comercial</t>
  </si>
  <si>
    <t>Mensual</t>
  </si>
  <si>
    <t>Trimestral</t>
  </si>
  <si>
    <t>Semestral</t>
  </si>
  <si>
    <t>Anual</t>
  </si>
  <si>
    <t>Valor del préstamo</t>
  </si>
  <si>
    <t>No. Periodos</t>
  </si>
  <si>
    <t>Plazo en años</t>
  </si>
  <si>
    <t>Periodos crédito</t>
  </si>
  <si>
    <t>Tipo Liquidación</t>
  </si>
  <si>
    <t xml:space="preserve">Tasa Nominal </t>
  </si>
  <si>
    <t>Tasa de interés periodica</t>
  </si>
  <si>
    <t>Pago</t>
  </si>
  <si>
    <t>Periodo</t>
  </si>
  <si>
    <t>Saldo inicial</t>
  </si>
  <si>
    <t>Abono a Capital</t>
  </si>
  <si>
    <t>Abono a interés</t>
  </si>
  <si>
    <t>Cuota</t>
  </si>
  <si>
    <t>Saldo final</t>
  </si>
  <si>
    <t>Intereses</t>
  </si>
  <si>
    <t>Tipo de Amortización</t>
  </si>
  <si>
    <t>Capital</t>
  </si>
  <si>
    <t>Saldo Crédito</t>
  </si>
  <si>
    <t>Resultantes</t>
  </si>
  <si>
    <t>Saldo</t>
  </si>
  <si>
    <t>Estimación de la demanda (personas)</t>
  </si>
  <si>
    <t>Precio clase</t>
  </si>
  <si>
    <t>3 clases a la semana: $ 210.000</t>
  </si>
  <si>
    <t>4 clases a la semana : $240.000</t>
  </si>
  <si>
    <t>5 clases a la sem: $260.000</t>
  </si>
  <si>
    <t>todas las clases que quiera: $280.000</t>
  </si>
  <si>
    <t>Concepto</t>
  </si>
  <si>
    <t>Terreno</t>
  </si>
  <si>
    <t>Equipo de Cómputo</t>
  </si>
  <si>
    <t>Mobiliario y Equipo de Oficina</t>
  </si>
  <si>
    <t>Efectivo de Reserva</t>
  </si>
  <si>
    <t>Maquinaria y Equipos</t>
  </si>
  <si>
    <t>Contratos de Servicios</t>
  </si>
  <si>
    <t>Gastos de Constitución</t>
  </si>
  <si>
    <t>TOTAL</t>
  </si>
  <si>
    <t>Promoción Inicial</t>
  </si>
  <si>
    <t>Costo de Inicio de Operaciones</t>
  </si>
  <si>
    <t>Cantidad</t>
  </si>
  <si>
    <t>Valor Unitario</t>
  </si>
  <si>
    <t>Valor Total</t>
  </si>
  <si>
    <t>Terreno y Construcciones</t>
  </si>
  <si>
    <t>Computadoras</t>
  </si>
  <si>
    <t>Impresoras</t>
  </si>
  <si>
    <t>Escritorios</t>
  </si>
  <si>
    <t>Sillas</t>
  </si>
  <si>
    <t>Archivadores</t>
  </si>
  <si>
    <t>Equipos de sonido</t>
  </si>
  <si>
    <t>Micrófonos</t>
  </si>
  <si>
    <t>Caballetes</t>
  </si>
  <si>
    <t>Atriles</t>
  </si>
  <si>
    <t>Mesas dibujo</t>
  </si>
  <si>
    <t>Pisos</t>
  </si>
  <si>
    <t>Elementos de arte</t>
  </si>
  <si>
    <t>Total Infraestructura</t>
  </si>
  <si>
    <t>GASTOS INICIALES</t>
  </si>
  <si>
    <t>Contrato del Teléfono</t>
  </si>
  <si>
    <t>Contrato de la Electricidad</t>
  </si>
  <si>
    <t>Contrato del Agua y Drenaje</t>
  </si>
  <si>
    <t>Contrato de Gas</t>
  </si>
  <si>
    <t>Contrato de Seguros</t>
  </si>
  <si>
    <t>Licencias</t>
  </si>
  <si>
    <t xml:space="preserve">  Licencia de Construcción</t>
  </si>
  <si>
    <t xml:space="preserve">  Licencia Ambiental</t>
  </si>
  <si>
    <t xml:space="preserve">  Licencia de Funcionamiento</t>
  </si>
  <si>
    <t>Registro de Marca</t>
  </si>
  <si>
    <t>Constitución de la Empresa (Cámara de Comercio)</t>
  </si>
  <si>
    <t>Notario Público</t>
  </si>
  <si>
    <t>Boleta Fiscal</t>
  </si>
  <si>
    <t>Registro Público de la Propiedad</t>
  </si>
  <si>
    <t>Página Web</t>
  </si>
  <si>
    <t>Publicidad</t>
  </si>
  <si>
    <t>Promoción</t>
  </si>
  <si>
    <t>Total Gastos Iniciales</t>
  </si>
  <si>
    <t xml:space="preserve">Escuela de arte Imaginarte </t>
  </si>
  <si>
    <t>Administración</t>
  </si>
  <si>
    <t>Nº</t>
  </si>
  <si>
    <t>NOMBRE EMPLEADO</t>
  </si>
  <si>
    <t>SUELDO
BASICO</t>
  </si>
  <si>
    <t>DIAS
TRAB.</t>
  </si>
  <si>
    <t>BASICO</t>
  </si>
  <si>
    <t>HORAS
EXTRAS</t>
  </si>
  <si>
    <t>AUXILIO
TRANSPORTE</t>
  </si>
  <si>
    <t>TOTAL
DEVENGADO</t>
  </si>
  <si>
    <t>SALUD</t>
  </si>
  <si>
    <t>PENSION</t>
  </si>
  <si>
    <t>PRESTAMO</t>
  </si>
  <si>
    <t>RET-
FUENTE</t>
  </si>
  <si>
    <t>APORTES
COOP</t>
  </si>
  <si>
    <t>NETO A 
PAGAR</t>
  </si>
  <si>
    <t>TOTALES</t>
  </si>
  <si>
    <t>DEVENGADO</t>
  </si>
  <si>
    <t>DEDUCCIONES</t>
  </si>
  <si>
    <t>APROPIACIONES</t>
  </si>
  <si>
    <t>ARP</t>
  </si>
  <si>
    <t>AUXILIO TRANSPORTE</t>
  </si>
  <si>
    <t>HORAS EXTRAS</t>
  </si>
  <si>
    <t>PRESTAMOS</t>
  </si>
  <si>
    <t>TOTAL DEVENGADO</t>
  </si>
  <si>
    <t>RET-FUENTE</t>
  </si>
  <si>
    <t>ICBF</t>
  </si>
  <si>
    <t>COOPERATIVAS</t>
  </si>
  <si>
    <t>SENA</t>
  </si>
  <si>
    <t xml:space="preserve">TOTAL </t>
  </si>
  <si>
    <t>CAJA COMPENSACION</t>
  </si>
  <si>
    <t>PROVISIONES PRESTACIONES SOCIALES</t>
  </si>
  <si>
    <t>CESANTIAS</t>
  </si>
  <si>
    <t>INTR. CESAN</t>
  </si>
  <si>
    <t>PRIMA</t>
  </si>
  <si>
    <t>VACACIONES</t>
  </si>
  <si>
    <t>VENTAS</t>
  </si>
  <si>
    <t>Vendedores</t>
  </si>
  <si>
    <t>OPERACIONAL</t>
  </si>
  <si>
    <t>Asistente</t>
  </si>
  <si>
    <t>Administrador</t>
  </si>
  <si>
    <t>Vendedor</t>
  </si>
  <si>
    <t>Promedio variable</t>
  </si>
  <si>
    <t>PRIMAS</t>
  </si>
  <si>
    <t>INTERESES SOBRE CESANTIAS</t>
  </si>
  <si>
    <t>TOTAL AÑO</t>
  </si>
  <si>
    <t>Profesores</t>
  </si>
  <si>
    <t>Valor hora</t>
  </si>
  <si>
    <t>Total horas/mes</t>
  </si>
  <si>
    <t>Total</t>
  </si>
  <si>
    <t>Total año</t>
  </si>
  <si>
    <t>TOTAL NOMINA AÑO</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</si>
</sst>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3" formatCode="_(* #,##0.00_);_(* \(#,##0.00\);_(* &quot;-&quot;??_);_(@_)"/>
    <numFmt numFmtId="164" formatCode="_(* #,##0_);_(* \(#,##0\);_(* &quot;-&quot;??_);_(@_)"/>
    <numFmt numFmtId="165" formatCode="0.0%"/>
    <numFmt numFmtId="166" formatCode="#,##0\ &quot;Veces&quot;"/>
    <numFmt numFmtId="167" formatCode="&quot;$&quot;\ #,##0,,\ &quot;MM&quot;"/>
    <numFmt numFmtId="168" formatCode="_(* #,##0.0_);_(* \(#,##0.0\);_(* &quot;-&quot;??_);_(@_)"/>
    <numFmt numFmtId="169" formatCode="_(* #,##0.000_);_(* \(#,##0.000\);_(* &quot;-&quot;??_);_(@_)"/>
    <numFmt numFmtId="170" formatCode="&quot;$&quot;\ #,##0.0,,\ &quot;MM&quot;"/>
    <numFmt numFmtId="171" formatCode="#,##0,,"/>
    <numFmt numFmtId="172" formatCode="#,##0\ &quot;Días&quot;"/>
    <numFmt numFmtId="173" formatCode="0.00\ &quot;x&quot;"/>
    <numFmt numFmtId="174" formatCode="_ &quot;$&quot;\ * #,##0.00_ ;_ &quot;$&quot;\ * \-#,##0.00_ ;_ &quot;$&quot;\ * &quot;-&quot;??_ ;_ @_ "/>
    <numFmt numFmtId="175" formatCode="_ &quot;$&quot;\ * #,##0_ ;_ &quot;$&quot;\ * \-#,##0_ ;_ &quot;$&quot;\ * &quot;-&quot;??_ ;_ @_ "/>
    <numFmt numFmtId="176" formatCode="_ * #,##0.00_ ;_ * \-#,##0.00_ ;_ * &quot;-&quot;??_ ;_ @_ "/>
    <numFmt numFmtId="177" formatCode="_ * #,##0.0_ ;_ * \-#,##0.0_ ;_ * &quot;-&quot;??_ ;_ @_ "/>
    <numFmt numFmtId="178" formatCode="_ * #,##0_ ;_ * \-#,##0_ ;_ * &quot;-&quot;??_ ;_ @_ "/>
  </numFmts>
  <fonts count="37" x14ac:knownFonts="1">
    <font>
      <sz val="10"/>
      <color theme="1"/>
      <name val="Calibri"/>
      <family val="2"/>
      <scheme val="minor"/>
    </font>
    <font>
      <b/>
      <sz val="11"/>
      <color theme="0"/>
      <name val="Calibri"/>
      <family val="2"/>
      <scheme val="minor"/>
    </font>
    <font>
      <b/>
      <sz val="11"/>
      <color theme="1"/>
      <name val="Calibri"/>
      <family val="2"/>
      <scheme val="minor"/>
    </font>
    <font>
      <sz val="10"/>
      <color theme="1"/>
      <name val="Calibri"/>
      <family val="2"/>
      <scheme val="minor"/>
    </font>
    <font>
      <b/>
      <sz val="10"/>
      <color theme="0" tint="-0.249977111117893"/>
      <name val="Calibri"/>
      <family val="2"/>
      <scheme val="minor"/>
    </font>
    <font>
      <b/>
      <sz val="10"/>
      <color theme="1"/>
      <name val="Calibri"/>
      <family val="2"/>
      <scheme val="minor"/>
    </font>
    <font>
      <b/>
      <sz val="10"/>
      <color theme="0" tint="-0.34998626667073579"/>
      <name val="Calibri"/>
      <family val="2"/>
      <scheme val="minor"/>
    </font>
    <font>
      <b/>
      <sz val="8"/>
      <color theme="0" tint="-0.249977111117893"/>
      <name val="Calibri"/>
      <family val="2"/>
      <scheme val="minor"/>
    </font>
    <font>
      <b/>
      <sz val="14"/>
      <color rgb="FFC00000"/>
      <name val="Calibri"/>
      <family val="2"/>
      <scheme val="minor"/>
    </font>
    <font>
      <b/>
      <sz val="12"/>
      <color theme="0"/>
      <name val="Calibri"/>
      <family val="2"/>
      <scheme val="minor"/>
    </font>
    <font>
      <b/>
      <u/>
      <sz val="10"/>
      <color theme="1"/>
      <name val="Calibri"/>
      <family val="2"/>
      <scheme val="minor"/>
    </font>
    <font>
      <b/>
      <sz val="14"/>
      <color theme="0"/>
      <name val="Calibri"/>
      <family val="2"/>
      <scheme val="minor"/>
    </font>
    <font>
      <sz val="10"/>
      <color theme="0"/>
      <name val="Calibri"/>
      <family val="2"/>
      <scheme val="minor"/>
    </font>
    <font>
      <b/>
      <sz val="10"/>
      <color theme="4"/>
      <name val="Calibri"/>
      <family val="2"/>
      <scheme val="minor"/>
    </font>
    <font>
      <b/>
      <sz val="11"/>
      <color rgb="FFC00000"/>
      <name val="Calibri"/>
      <family val="2"/>
      <scheme val="minor"/>
    </font>
    <font>
      <sz val="10"/>
      <color theme="4"/>
      <name val="Calibri"/>
      <family val="2"/>
      <scheme val="minor"/>
    </font>
    <font>
      <sz val="10"/>
      <name val="Calibri"/>
      <family val="2"/>
      <scheme val="minor"/>
    </font>
    <font>
      <sz val="10"/>
      <color rgb="FFC00000"/>
      <name val="Calibri"/>
      <family val="2"/>
      <scheme val="minor"/>
    </font>
    <font>
      <sz val="10"/>
      <color rgb="FFFF0000"/>
      <name val="Calibri"/>
      <family val="2"/>
      <scheme val="minor"/>
    </font>
    <font>
      <b/>
      <i/>
      <sz val="10"/>
      <color theme="1"/>
      <name val="Calibri"/>
      <family val="2"/>
      <scheme val="minor"/>
    </font>
    <font>
      <b/>
      <sz val="8"/>
      <color theme="1"/>
      <name val="Calibri"/>
      <family val="2"/>
      <scheme val="minor"/>
    </font>
    <font>
      <sz val="10"/>
      <color theme="0" tint="-0.34998626667073579"/>
      <name val="Calibri"/>
      <family val="2"/>
      <scheme val="minor"/>
    </font>
    <font>
      <b/>
      <sz val="10"/>
      <color rgb="FFC00000"/>
      <name val="Calibri"/>
      <family val="2"/>
      <scheme val="minor"/>
    </font>
    <font>
      <sz val="9"/>
      <color theme="1"/>
      <name val="Calibri"/>
      <family val="2"/>
      <scheme val="minor"/>
    </font>
    <font>
      <sz val="10"/>
      <color theme="0" tint="-0.249977111117893"/>
      <name val="Calibri"/>
      <family val="2"/>
      <scheme val="minor"/>
    </font>
    <font>
      <u/>
      <sz val="10"/>
      <color theme="1"/>
      <name val="Calibri"/>
      <family val="2"/>
      <scheme val="minor"/>
    </font>
    <font>
      <u/>
      <sz val="10"/>
      <color rgb="FFC00000"/>
      <name val="Calibri"/>
      <family val="2"/>
      <scheme val="minor"/>
    </font>
    <font>
      <sz val="10"/>
      <name val="Arial"/>
      <family val="2"/>
    </font>
    <font>
      <b/>
      <sz val="10"/>
      <name val="Calibri"/>
      <family val="2"/>
      <scheme val="minor"/>
    </font>
    <font>
      <b/>
      <sz val="8"/>
      <color rgb="FF555555"/>
      <name val="Arial"/>
      <family val="2"/>
    </font>
    <font>
      <b/>
      <sz val="12"/>
      <name val="Arial"/>
      <family val="2"/>
    </font>
    <font>
      <b/>
      <sz val="10"/>
      <name val="Arial"/>
      <family val="2"/>
    </font>
    <font>
      <b/>
      <i/>
      <sz val="10"/>
      <name val="Arial"/>
      <family val="2"/>
    </font>
    <font>
      <i/>
      <sz val="10"/>
      <name val="Arial"/>
      <family val="2"/>
    </font>
    <font>
      <sz val="10"/>
      <name val="Arial"/>
    </font>
    <font>
      <b/>
      <sz val="8"/>
      <name val="Arial"/>
      <family val="2"/>
    </font>
    <font>
      <sz val="8"/>
      <name val="Arial"/>
      <family val="2"/>
    </font>
  </fonts>
  <fills count="9">
    <fill>
      <patternFill patternType="none"/>
    </fill>
    <fill>
      <patternFill patternType="gray125"/>
    </fill>
    <fill>
      <patternFill patternType="solid">
        <fgColor theme="9" tint="-0.249977111117893"/>
        <bgColor indexed="64"/>
      </patternFill>
    </fill>
    <fill>
      <patternFill patternType="solid">
        <fgColor theme="3"/>
        <bgColor indexed="64"/>
      </patternFill>
    </fill>
    <fill>
      <patternFill patternType="lightUp"/>
    </fill>
    <fill>
      <patternFill patternType="solid">
        <fgColor theme="0" tint="-4.9989318521683403E-2"/>
        <bgColor indexed="64"/>
      </patternFill>
    </fill>
    <fill>
      <patternFill patternType="solid">
        <fgColor theme="0" tint="-0.14999847407452621"/>
        <bgColor indexed="64"/>
      </patternFill>
    </fill>
    <fill>
      <patternFill patternType="solid">
        <fgColor indexed="22"/>
        <bgColor indexed="64"/>
      </patternFill>
    </fill>
    <fill>
      <patternFill patternType="solid">
        <fgColor indexed="9"/>
        <bgColor indexed="64"/>
      </patternFill>
    </fill>
  </fills>
  <borders count="30">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thin">
        <color indexed="64"/>
      </top>
      <bottom style="medium">
        <color indexed="64"/>
      </bottom>
      <diagonal/>
    </border>
    <border>
      <left style="hair">
        <color indexed="64"/>
      </left>
      <right style="hair">
        <color indexed="64"/>
      </right>
      <top style="hair">
        <color indexed="64"/>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9">
    <xf numFmtId="0" fontId="0" fillId="0" borderId="0"/>
    <xf numFmtId="43" fontId="3" fillId="0" borderId="0" applyFont="0" applyFill="0" applyBorder="0" applyAlignment="0" applyProtection="0"/>
    <xf numFmtId="9" fontId="3" fillId="0" borderId="0" applyFont="0" applyFill="0" applyBorder="0" applyAlignment="0" applyProtection="0"/>
    <xf numFmtId="0" fontId="27" fillId="0" borderId="0"/>
    <xf numFmtId="174" fontId="27" fillId="0" borderId="0" applyFont="0" applyFill="0" applyBorder="0" applyAlignment="0" applyProtection="0"/>
    <xf numFmtId="9" fontId="27" fillId="0" borderId="0" applyFont="0" applyFill="0" applyBorder="0" applyAlignment="0" applyProtection="0"/>
    <xf numFmtId="176" fontId="27" fillId="0" borderId="0" applyFont="0" applyFill="0" applyBorder="0" applyAlignment="0" applyProtection="0"/>
    <xf numFmtId="176" fontId="34" fillId="0" borderId="0" applyFont="0" applyFill="0" applyBorder="0" applyAlignment="0" applyProtection="0"/>
    <xf numFmtId="0" fontId="34" fillId="0" borderId="0"/>
  </cellStyleXfs>
  <cellXfs count="206">
    <xf numFmtId="0" fontId="0" fillId="0" borderId="0" xfId="0"/>
    <xf numFmtId="164" fontId="4" fillId="0" borderId="0" xfId="0" applyNumberFormat="1" applyFont="1"/>
    <xf numFmtId="0" fontId="5" fillId="0" borderId="0" xfId="0" applyFont="1" applyAlignment="1">
      <alignment horizontal="center"/>
    </xf>
    <xf numFmtId="0" fontId="6" fillId="0" borderId="0" xfId="0" applyFont="1"/>
    <xf numFmtId="0" fontId="7" fillId="0" borderId="0" xfId="0" applyFont="1" applyAlignment="1"/>
    <xf numFmtId="0" fontId="8" fillId="0" borderId="0" xfId="0" applyFont="1"/>
    <xf numFmtId="0" fontId="1" fillId="2" borderId="0" xfId="0" applyFont="1" applyFill="1" applyAlignment="1">
      <alignment horizontal="center"/>
    </xf>
    <xf numFmtId="164" fontId="9" fillId="0" borderId="0" xfId="1" applyNumberFormat="1" applyFont="1" applyFill="1" applyAlignment="1">
      <alignment horizontal="center"/>
    </xf>
    <xf numFmtId="0" fontId="5" fillId="0" borderId="0" xfId="0" applyFont="1"/>
    <xf numFmtId="0" fontId="10" fillId="0" borderId="0" xfId="0" applyFont="1"/>
    <xf numFmtId="0" fontId="11" fillId="3" borderId="0" xfId="0" applyFont="1" applyFill="1" applyAlignment="1">
      <alignment horizontal="center"/>
    </xf>
    <xf numFmtId="0" fontId="12" fillId="0" borderId="0" xfId="0" applyFont="1"/>
    <xf numFmtId="0" fontId="13" fillId="0" borderId="0" xfId="0" applyFont="1" applyAlignment="1">
      <alignment horizontal="center"/>
    </xf>
    <xf numFmtId="0" fontId="14" fillId="0" borderId="0" xfId="0" applyFont="1" applyAlignment="1">
      <alignment horizontal="center"/>
    </xf>
    <xf numFmtId="0" fontId="0" fillId="4" borderId="0" xfId="0" applyFill="1"/>
    <xf numFmtId="9" fontId="15" fillId="0" borderId="0" xfId="0" applyNumberFormat="1" applyFont="1" applyAlignment="1">
      <alignment horizontal="center"/>
    </xf>
    <xf numFmtId="9" fontId="16" fillId="0" borderId="0" xfId="0" applyNumberFormat="1" applyFont="1" applyAlignment="1">
      <alignment horizontal="center"/>
    </xf>
    <xf numFmtId="0" fontId="0" fillId="0" borderId="0" xfId="0" applyAlignment="1">
      <alignment horizontal="left" indent="2"/>
    </xf>
    <xf numFmtId="164" fontId="15" fillId="0" borderId="0" xfId="1" applyNumberFormat="1" applyFont="1"/>
    <xf numFmtId="164" fontId="0" fillId="0" borderId="0" xfId="1" applyNumberFormat="1" applyFont="1"/>
    <xf numFmtId="165" fontId="15" fillId="0" borderId="0" xfId="0" applyNumberFormat="1" applyFont="1" applyAlignment="1">
      <alignment horizontal="center"/>
    </xf>
    <xf numFmtId="10" fontId="15" fillId="0" borderId="0" xfId="0" applyNumberFormat="1" applyFont="1" applyAlignment="1">
      <alignment horizontal="center"/>
    </xf>
    <xf numFmtId="9" fontId="0" fillId="0" borderId="0" xfId="2" applyNumberFormat="1" applyFont="1"/>
    <xf numFmtId="0" fontId="15" fillId="0" borderId="0" xfId="0" applyFont="1"/>
    <xf numFmtId="166" fontId="0" fillId="0" borderId="0" xfId="0" applyNumberFormat="1"/>
    <xf numFmtId="167" fontId="0" fillId="0" borderId="0" xfId="0" applyNumberFormat="1"/>
    <xf numFmtId="167" fontId="17" fillId="0" borderId="0" xfId="1" applyNumberFormat="1" applyFont="1"/>
    <xf numFmtId="167" fontId="0" fillId="0" borderId="0" xfId="1" applyNumberFormat="1" applyFont="1"/>
    <xf numFmtId="0" fontId="14" fillId="0" borderId="0" xfId="0" applyFont="1"/>
    <xf numFmtId="9" fontId="0" fillId="0" borderId="0" xfId="2" applyFont="1"/>
    <xf numFmtId="9" fontId="5" fillId="5" borderId="1" xfId="2" applyNumberFormat="1" applyFont="1" applyFill="1" applyBorder="1" applyAlignment="1">
      <alignment horizontal="center"/>
    </xf>
    <xf numFmtId="9" fontId="13" fillId="0" borderId="0" xfId="0" applyNumberFormat="1" applyFont="1"/>
    <xf numFmtId="9" fontId="0" fillId="0" borderId="0" xfId="0" applyNumberFormat="1"/>
    <xf numFmtId="0" fontId="13" fillId="0" borderId="0" xfId="0" applyFont="1"/>
    <xf numFmtId="168" fontId="0" fillId="0" borderId="0" xfId="1" applyNumberFormat="1" applyFont="1"/>
    <xf numFmtId="169" fontId="0" fillId="0" borderId="0" xfId="1" applyNumberFormat="1" applyFont="1"/>
    <xf numFmtId="9" fontId="18" fillId="0" borderId="0" xfId="0" applyNumberFormat="1" applyFont="1"/>
    <xf numFmtId="0" fontId="12" fillId="0" borderId="0" xfId="0" applyFont="1" applyAlignment="1">
      <alignment horizontal="center" vertical="center"/>
    </xf>
    <xf numFmtId="0" fontId="0" fillId="0" borderId="0" xfId="0" applyAlignment="1">
      <alignment horizontal="left" vertical="center"/>
    </xf>
    <xf numFmtId="0" fontId="19" fillId="0" borderId="0" xfId="0" applyFont="1"/>
    <xf numFmtId="167" fontId="15" fillId="0" borderId="0" xfId="0" applyNumberFormat="1" applyFont="1"/>
    <xf numFmtId="0" fontId="5" fillId="6" borderId="0" xfId="0" applyFont="1" applyFill="1" applyAlignment="1">
      <alignment horizontal="left"/>
    </xf>
    <xf numFmtId="167" fontId="5" fillId="0" borderId="0" xfId="0" applyNumberFormat="1" applyFont="1"/>
    <xf numFmtId="170" fontId="15" fillId="0" borderId="0" xfId="0" applyNumberFormat="1" applyFont="1"/>
    <xf numFmtId="0" fontId="20" fillId="0" borderId="0" xfId="0" applyFont="1"/>
    <xf numFmtId="171" fontId="21" fillId="0" borderId="0" xfId="1" applyNumberFormat="1" applyFont="1"/>
    <xf numFmtId="170" fontId="0" fillId="0" borderId="0" xfId="0" applyNumberFormat="1"/>
    <xf numFmtId="170" fontId="5" fillId="6" borderId="0" xfId="0" applyNumberFormat="1" applyFont="1" applyFill="1"/>
    <xf numFmtId="170" fontId="22" fillId="6" borderId="0" xfId="0" applyNumberFormat="1" applyFont="1" applyFill="1"/>
    <xf numFmtId="0" fontId="14" fillId="5" borderId="0" xfId="0" applyFont="1" applyFill="1" applyAlignment="1">
      <alignment horizontal="center"/>
    </xf>
    <xf numFmtId="0" fontId="5" fillId="5" borderId="0" xfId="0" applyFont="1" applyFill="1"/>
    <xf numFmtId="167" fontId="5" fillId="5" borderId="0" xfId="0" applyNumberFormat="1" applyFont="1" applyFill="1"/>
    <xf numFmtId="171" fontId="23" fillId="0" borderId="0" xfId="0" applyNumberFormat="1" applyFont="1"/>
    <xf numFmtId="171" fontId="23" fillId="4" borderId="0" xfId="0" applyNumberFormat="1" applyFont="1" applyFill="1"/>
    <xf numFmtId="0" fontId="5" fillId="0" borderId="1" xfId="0" applyFont="1" applyBorder="1"/>
    <xf numFmtId="9" fontId="5" fillId="0" borderId="1" xfId="0" applyNumberFormat="1" applyFont="1" applyBorder="1"/>
    <xf numFmtId="167" fontId="5" fillId="0" borderId="1" xfId="1" applyNumberFormat="1" applyFont="1" applyBorder="1"/>
    <xf numFmtId="0" fontId="6" fillId="0" borderId="0" xfId="0" applyFont="1" applyAlignment="1">
      <alignment horizontal="center"/>
    </xf>
    <xf numFmtId="164" fontId="21" fillId="0" borderId="0" xfId="1" applyNumberFormat="1" applyFont="1"/>
    <xf numFmtId="0" fontId="5" fillId="6" borderId="0" xfId="0" applyFont="1" applyFill="1"/>
    <xf numFmtId="167" fontId="5" fillId="6" borderId="0" xfId="0" applyNumberFormat="1" applyFont="1" applyFill="1"/>
    <xf numFmtId="9" fontId="24" fillId="0" borderId="0" xfId="2" applyFont="1"/>
    <xf numFmtId="167" fontId="24" fillId="0" borderId="0" xfId="0" applyNumberFormat="1" applyFont="1"/>
    <xf numFmtId="164" fontId="24" fillId="0" borderId="0" xfId="1" applyNumberFormat="1" applyFont="1"/>
    <xf numFmtId="167" fontId="5" fillId="0" borderId="1" xfId="0" applyNumberFormat="1" applyFont="1" applyBorder="1"/>
    <xf numFmtId="167" fontId="17" fillId="0" borderId="0" xfId="0" applyNumberFormat="1" applyFont="1"/>
    <xf numFmtId="0" fontId="25" fillId="0" borderId="0" xfId="0" applyFont="1"/>
    <xf numFmtId="167" fontId="25" fillId="0" borderId="0" xfId="0" applyNumberFormat="1" applyFont="1"/>
    <xf numFmtId="0" fontId="0" fillId="0" borderId="0" xfId="0" applyFont="1" applyAlignment="1">
      <alignment horizontal="left" indent="2"/>
    </xf>
    <xf numFmtId="0" fontId="0" fillId="0" borderId="0" xfId="0" applyFont="1"/>
    <xf numFmtId="167" fontId="0" fillId="0" borderId="0" xfId="0" applyNumberFormat="1" applyFont="1"/>
    <xf numFmtId="171" fontId="0" fillId="0" borderId="0" xfId="1" applyNumberFormat="1" applyFont="1"/>
    <xf numFmtId="167" fontId="26" fillId="0" borderId="0" xfId="0" applyNumberFormat="1" applyFont="1"/>
    <xf numFmtId="167" fontId="25" fillId="0" borderId="0" xfId="1" applyNumberFormat="1" applyFont="1"/>
    <xf numFmtId="167" fontId="16" fillId="0" borderId="0" xfId="0" applyNumberFormat="1" applyFont="1"/>
    <xf numFmtId="0" fontId="2" fillId="0" borderId="3" xfId="0" applyFont="1" applyBorder="1"/>
    <xf numFmtId="0" fontId="0" fillId="0" borderId="0" xfId="0" applyFont="1" applyFill="1" applyBorder="1"/>
    <xf numFmtId="167" fontId="0" fillId="0" borderId="1" xfId="1" applyNumberFormat="1" applyFont="1" applyBorder="1"/>
    <xf numFmtId="0" fontId="0" fillId="0" borderId="0" xfId="0" applyBorder="1"/>
    <xf numFmtId="0" fontId="0" fillId="0" borderId="0" xfId="0" applyFill="1" applyBorder="1"/>
    <xf numFmtId="43" fontId="0" fillId="0" borderId="1" xfId="1" applyNumberFormat="1" applyFont="1" applyBorder="1"/>
    <xf numFmtId="43" fontId="0" fillId="0" borderId="4" xfId="1" applyNumberFormat="1" applyFont="1" applyBorder="1"/>
    <xf numFmtId="172" fontId="0" fillId="0" borderId="1" xfId="0" applyNumberFormat="1" applyBorder="1"/>
    <xf numFmtId="166" fontId="0" fillId="0" borderId="1" xfId="0" applyNumberFormat="1" applyBorder="1"/>
    <xf numFmtId="0" fontId="0" fillId="0" borderId="5" xfId="0" applyBorder="1"/>
    <xf numFmtId="9" fontId="0" fillId="0" borderId="1" xfId="2" applyFont="1" applyBorder="1"/>
    <xf numFmtId="165" fontId="0" fillId="0" borderId="1" xfId="2" applyNumberFormat="1" applyFont="1" applyBorder="1"/>
    <xf numFmtId="0" fontId="0" fillId="0" borderId="6" xfId="0" applyBorder="1"/>
    <xf numFmtId="0" fontId="2" fillId="5" borderId="0" xfId="0" applyFont="1" applyFill="1"/>
    <xf numFmtId="173" fontId="2" fillId="0" borderId="1" xfId="1" applyNumberFormat="1" applyFont="1" applyBorder="1" applyAlignment="1">
      <alignment horizontal="center"/>
    </xf>
    <xf numFmtId="0" fontId="27" fillId="0" borderId="0" xfId="0" applyFont="1" applyBorder="1" applyAlignment="1">
      <alignment horizontal="left" vertical="center"/>
    </xf>
    <xf numFmtId="167" fontId="5" fillId="0" borderId="1" xfId="1" applyNumberFormat="1" applyFont="1" applyBorder="1" applyAlignment="1">
      <alignment horizontal="center"/>
    </xf>
    <xf numFmtId="0" fontId="13" fillId="0" borderId="1" xfId="0" applyFont="1" applyBorder="1" applyAlignment="1">
      <alignment horizontal="center"/>
    </xf>
    <xf numFmtId="0" fontId="28" fillId="0" borderId="1" xfId="0" applyFont="1" applyBorder="1" applyAlignment="1">
      <alignment horizontal="center"/>
    </xf>
    <xf numFmtId="1" fontId="28" fillId="0" borderId="1" xfId="1" applyNumberFormat="1" applyFont="1" applyBorder="1" applyAlignment="1">
      <alignment horizontal="center"/>
    </xf>
    <xf numFmtId="10" fontId="5" fillId="0" borderId="1" xfId="0" applyNumberFormat="1" applyFont="1" applyBorder="1" applyAlignment="1">
      <alignment horizontal="center"/>
    </xf>
    <xf numFmtId="10" fontId="0" fillId="0" borderId="0" xfId="0" applyNumberFormat="1"/>
    <xf numFmtId="0" fontId="12" fillId="3" borderId="0" xfId="0" applyFont="1" applyFill="1" applyAlignment="1">
      <alignment horizontal="center"/>
    </xf>
    <xf numFmtId="0" fontId="22" fillId="0" borderId="0" xfId="0" applyFont="1"/>
    <xf numFmtId="3" fontId="29" fillId="0" borderId="0" xfId="0" applyNumberFormat="1" applyFont="1" applyAlignment="1">
      <alignment vertical="center"/>
    </xf>
    <xf numFmtId="0" fontId="29" fillId="0" borderId="0" xfId="0" applyFont="1" applyAlignment="1">
      <alignment vertical="center"/>
    </xf>
    <xf numFmtId="0" fontId="27" fillId="0" borderId="0" xfId="3" applyFont="1" applyBorder="1" applyProtection="1">
      <protection hidden="1"/>
    </xf>
    <xf numFmtId="0" fontId="27" fillId="0" borderId="7" xfId="3" applyFont="1" applyFill="1" applyBorder="1" applyAlignment="1" applyProtection="1">
      <alignment horizontal="left"/>
      <protection hidden="1"/>
    </xf>
    <xf numFmtId="175" fontId="27" fillId="0" borderId="7" xfId="4" applyNumberFormat="1" applyFont="1" applyFill="1" applyBorder="1" applyProtection="1">
      <protection hidden="1"/>
    </xf>
    <xf numFmtId="175" fontId="31" fillId="0" borderId="7" xfId="4" applyNumberFormat="1" applyFont="1" applyFill="1" applyBorder="1" applyProtection="1">
      <protection hidden="1"/>
    </xf>
    <xf numFmtId="175" fontId="27" fillId="0" borderId="7" xfId="4" applyNumberFormat="1" applyFont="1" applyFill="1" applyBorder="1" applyProtection="1">
      <protection locked="0" hidden="1"/>
    </xf>
    <xf numFmtId="0" fontId="27" fillId="0" borderId="0" xfId="3" applyFont="1" applyBorder="1" applyAlignment="1" applyProtection="1">
      <alignment horizontal="left"/>
      <protection hidden="1"/>
    </xf>
    <xf numFmtId="175" fontId="27" fillId="0" borderId="0" xfId="4" applyNumberFormat="1" applyFont="1" applyBorder="1" applyProtection="1">
      <protection hidden="1"/>
    </xf>
    <xf numFmtId="0" fontId="27" fillId="0" borderId="0" xfId="3" applyFont="1" applyProtection="1">
      <protection hidden="1"/>
    </xf>
    <xf numFmtId="0" fontId="31" fillId="7" borderId="7" xfId="3" applyFont="1" applyFill="1" applyBorder="1" applyAlignment="1" applyProtection="1">
      <alignment horizontal="left"/>
      <protection hidden="1"/>
    </xf>
    <xf numFmtId="0" fontId="31" fillId="7" borderId="7" xfId="3" applyFont="1" applyFill="1" applyBorder="1" applyAlignment="1" applyProtection="1">
      <alignment horizontal="center" vertical="center"/>
      <protection hidden="1"/>
    </xf>
    <xf numFmtId="175" fontId="31" fillId="7" borderId="7" xfId="4" applyNumberFormat="1" applyFont="1" applyFill="1" applyBorder="1" applyAlignment="1" applyProtection="1">
      <alignment horizontal="center" vertical="center"/>
      <protection hidden="1"/>
    </xf>
    <xf numFmtId="0" fontId="27" fillId="0" borderId="0" xfId="3" applyFont="1" applyFill="1" applyProtection="1">
      <protection hidden="1"/>
    </xf>
    <xf numFmtId="175" fontId="27" fillId="0" borderId="7" xfId="3" applyNumberFormat="1" applyFont="1" applyFill="1" applyBorder="1" applyProtection="1">
      <protection hidden="1"/>
    </xf>
    <xf numFmtId="0" fontId="27" fillId="0" borderId="7" xfId="3" applyFont="1" applyFill="1" applyBorder="1" applyProtection="1">
      <protection hidden="1"/>
    </xf>
    <xf numFmtId="175" fontId="31" fillId="8" borderId="7" xfId="4" applyNumberFormat="1" applyFont="1" applyFill="1" applyBorder="1" applyProtection="1">
      <protection hidden="1"/>
    </xf>
    <xf numFmtId="175" fontId="32" fillId="0" borderId="7" xfId="4" applyNumberFormat="1" applyFont="1" applyFill="1" applyBorder="1" applyProtection="1">
      <protection hidden="1"/>
    </xf>
    <xf numFmtId="175" fontId="33" fillId="0" borderId="0" xfId="3" applyNumberFormat="1" applyFont="1" applyFill="1" applyProtection="1">
      <protection hidden="1"/>
    </xf>
    <xf numFmtId="0" fontId="33" fillId="0" borderId="0" xfId="3" applyFont="1" applyFill="1" applyProtection="1">
      <protection hidden="1"/>
    </xf>
    <xf numFmtId="0" fontId="27" fillId="0" borderId="7" xfId="3" applyFont="1" applyBorder="1" applyAlignment="1" applyProtection="1">
      <alignment horizontal="left"/>
      <protection hidden="1"/>
    </xf>
    <xf numFmtId="0" fontId="27" fillId="0" borderId="7" xfId="3" applyFont="1" applyBorder="1" applyProtection="1">
      <protection hidden="1"/>
    </xf>
    <xf numFmtId="175" fontId="27" fillId="8" borderId="7" xfId="4" applyNumberFormat="1" applyFont="1" applyFill="1" applyBorder="1" applyProtection="1">
      <protection locked="0" hidden="1"/>
    </xf>
    <xf numFmtId="175" fontId="27" fillId="0" borderId="7" xfId="4" applyNumberFormat="1" applyFont="1" applyBorder="1" applyProtection="1">
      <protection hidden="1"/>
    </xf>
    <xf numFmtId="175" fontId="27" fillId="0" borderId="0" xfId="3" applyNumberFormat="1" applyFont="1" applyFill="1" applyProtection="1">
      <protection hidden="1"/>
    </xf>
    <xf numFmtId="9" fontId="27" fillId="0" borderId="7" xfId="3" applyNumberFormat="1" applyFont="1" applyBorder="1" applyProtection="1">
      <protection hidden="1"/>
    </xf>
    <xf numFmtId="0" fontId="27" fillId="0" borderId="9" xfId="3" applyFont="1" applyFill="1" applyBorder="1" applyProtection="1">
      <protection hidden="1"/>
    </xf>
    <xf numFmtId="0" fontId="31" fillId="0" borderId="7" xfId="3" applyFont="1" applyFill="1" applyBorder="1" applyProtection="1">
      <protection hidden="1"/>
    </xf>
    <xf numFmtId="0" fontId="33" fillId="0" borderId="0" xfId="3" applyFont="1" applyProtection="1">
      <protection hidden="1"/>
    </xf>
    <xf numFmtId="0" fontId="27" fillId="0" borderId="0" xfId="3" applyFont="1" applyAlignment="1" applyProtection="1">
      <alignment horizontal="left"/>
      <protection hidden="1"/>
    </xf>
    <xf numFmtId="175" fontId="27" fillId="0" borderId="0" xfId="4" applyNumberFormat="1" applyFont="1" applyProtection="1">
      <protection hidden="1"/>
    </xf>
    <xf numFmtId="43" fontId="0" fillId="0" borderId="0" xfId="1" applyFont="1"/>
    <xf numFmtId="177" fontId="30" fillId="0" borderId="0" xfId="7" applyNumberFormat="1" applyFont="1" applyFill="1" applyProtection="1">
      <protection hidden="1"/>
    </xf>
    <xf numFmtId="177" fontId="27" fillId="0" borderId="0" xfId="7" applyNumberFormat="1" applyFont="1" applyFill="1" applyProtection="1">
      <protection hidden="1"/>
    </xf>
    <xf numFmtId="177" fontId="35" fillId="0" borderId="12" xfId="7" applyNumberFormat="1" applyFont="1" applyFill="1" applyBorder="1" applyAlignment="1" applyProtection="1">
      <alignment horizontal="center"/>
      <protection hidden="1"/>
    </xf>
    <xf numFmtId="177" fontId="35" fillId="0" borderId="13" xfId="7" applyNumberFormat="1" applyFont="1" applyFill="1" applyBorder="1" applyAlignment="1" applyProtection="1">
      <alignment horizontal="center"/>
      <protection hidden="1"/>
    </xf>
    <xf numFmtId="177" fontId="35" fillId="0" borderId="12" xfId="7" applyNumberFormat="1" applyFont="1" applyFill="1" applyBorder="1" applyAlignment="1" applyProtection="1">
      <alignment horizontal="center" wrapText="1"/>
      <protection hidden="1"/>
    </xf>
    <xf numFmtId="177" fontId="35" fillId="0" borderId="13" xfId="7" applyNumberFormat="1" applyFont="1" applyFill="1" applyBorder="1" applyAlignment="1" applyProtection="1">
      <alignment horizontal="center" wrapText="1"/>
      <protection hidden="1"/>
    </xf>
    <xf numFmtId="177" fontId="35" fillId="0" borderId="14" xfId="7" applyNumberFormat="1" applyFont="1" applyFill="1" applyBorder="1" applyAlignment="1" applyProtection="1">
      <alignment horizontal="center"/>
      <protection hidden="1"/>
    </xf>
    <xf numFmtId="177" fontId="35" fillId="0" borderId="15" xfId="7" applyNumberFormat="1" applyFont="1" applyFill="1" applyBorder="1" applyAlignment="1" applyProtection="1">
      <alignment horizontal="center" wrapText="1"/>
      <protection hidden="1"/>
    </xf>
    <xf numFmtId="177" fontId="35" fillId="0" borderId="16" xfId="7" applyNumberFormat="1" applyFont="1" applyFill="1" applyBorder="1" applyAlignment="1" applyProtection="1">
      <alignment horizontal="center" wrapText="1"/>
      <protection hidden="1"/>
    </xf>
    <xf numFmtId="177" fontId="35" fillId="0" borderId="14" xfId="7" applyNumberFormat="1" applyFont="1" applyFill="1" applyBorder="1" applyAlignment="1" applyProtection="1">
      <alignment horizontal="center" wrapText="1"/>
      <protection hidden="1"/>
    </xf>
    <xf numFmtId="177" fontId="35" fillId="0" borderId="0" xfId="7" applyNumberFormat="1" applyFont="1" applyFill="1" applyAlignment="1" applyProtection="1">
      <alignment horizontal="center"/>
      <protection hidden="1"/>
    </xf>
    <xf numFmtId="178" fontId="27" fillId="0" borderId="17" xfId="7" applyNumberFormat="1" applyFont="1" applyFill="1" applyBorder="1" applyAlignment="1" applyProtection="1">
      <protection hidden="1"/>
    </xf>
    <xf numFmtId="0" fontId="27" fillId="0" borderId="0" xfId="8" applyFont="1" applyFill="1" applyProtection="1">
      <protection hidden="1"/>
    </xf>
    <xf numFmtId="176" fontId="27" fillId="0" borderId="18" xfId="7" applyFont="1" applyFill="1" applyBorder="1" applyProtection="1">
      <protection hidden="1"/>
    </xf>
    <xf numFmtId="178" fontId="27" fillId="0" borderId="5" xfId="7" applyNumberFormat="1" applyFont="1" applyFill="1" applyBorder="1" applyAlignment="1" applyProtection="1">
      <alignment horizontal="center"/>
      <protection hidden="1"/>
    </xf>
    <xf numFmtId="177" fontId="27" fillId="0" borderId="19" xfId="7" applyNumberFormat="1" applyFont="1" applyFill="1" applyBorder="1" applyProtection="1">
      <protection hidden="1"/>
    </xf>
    <xf numFmtId="177" fontId="27" fillId="0" borderId="8" xfId="7" applyNumberFormat="1" applyFont="1" applyFill="1" applyBorder="1" applyProtection="1">
      <protection hidden="1"/>
    </xf>
    <xf numFmtId="177" fontId="27" fillId="0" borderId="20" xfId="7" applyNumberFormat="1" applyFont="1" applyFill="1" applyBorder="1" applyProtection="1">
      <protection hidden="1"/>
    </xf>
    <xf numFmtId="178" fontId="27" fillId="0" borderId="17" xfId="7" applyNumberFormat="1" applyFont="1" applyFill="1" applyBorder="1" applyProtection="1">
      <protection hidden="1"/>
    </xf>
    <xf numFmtId="176" fontId="27" fillId="0" borderId="21" xfId="7" applyFont="1" applyFill="1" applyBorder="1" applyProtection="1">
      <protection hidden="1"/>
    </xf>
    <xf numFmtId="178" fontId="27" fillId="0" borderId="10" xfId="7" applyNumberFormat="1" applyFont="1" applyFill="1" applyBorder="1" applyAlignment="1" applyProtection="1">
      <alignment horizontal="center"/>
      <protection hidden="1"/>
    </xf>
    <xf numFmtId="177" fontId="27" fillId="0" borderId="22" xfId="7" applyNumberFormat="1" applyFont="1" applyFill="1" applyBorder="1" applyProtection="1">
      <protection hidden="1"/>
    </xf>
    <xf numFmtId="177" fontId="27" fillId="0" borderId="0" xfId="7" applyNumberFormat="1" applyFont="1" applyFill="1" applyBorder="1" applyProtection="1">
      <protection hidden="1"/>
    </xf>
    <xf numFmtId="177" fontId="27" fillId="0" borderId="21" xfId="7" applyNumberFormat="1" applyFont="1" applyFill="1" applyBorder="1" applyProtection="1">
      <protection hidden="1"/>
    </xf>
    <xf numFmtId="177" fontId="27" fillId="0" borderId="24" xfId="7" applyNumberFormat="1" applyFont="1" applyFill="1" applyBorder="1" applyProtection="1">
      <protection hidden="1"/>
    </xf>
    <xf numFmtId="177" fontId="31" fillId="0" borderId="12" xfId="7" applyNumberFormat="1" applyFont="1" applyFill="1" applyBorder="1" applyAlignment="1" applyProtection="1">
      <alignment horizontal="center"/>
      <protection hidden="1"/>
    </xf>
    <xf numFmtId="177" fontId="31" fillId="0" borderId="13" xfId="7" applyNumberFormat="1" applyFont="1" applyFill="1" applyBorder="1" applyProtection="1">
      <protection hidden="1"/>
    </xf>
    <xf numFmtId="177" fontId="31" fillId="0" borderId="15" xfId="7" applyNumberFormat="1" applyFont="1" applyFill="1" applyBorder="1" applyProtection="1">
      <protection hidden="1"/>
    </xf>
    <xf numFmtId="177" fontId="31" fillId="0" borderId="0" xfId="7" applyNumberFormat="1" applyFont="1" applyFill="1" applyProtection="1">
      <protection hidden="1"/>
    </xf>
    <xf numFmtId="178" fontId="27" fillId="0" borderId="0" xfId="7" applyNumberFormat="1" applyFont="1" applyFill="1" applyProtection="1">
      <protection hidden="1"/>
    </xf>
    <xf numFmtId="177" fontId="36" fillId="0" borderId="19" xfId="7" applyNumberFormat="1" applyFont="1" applyFill="1" applyBorder="1" applyProtection="1">
      <protection hidden="1"/>
    </xf>
    <xf numFmtId="177" fontId="36" fillId="0" borderId="27" xfId="7" applyNumberFormat="1" applyFont="1" applyFill="1" applyBorder="1" applyProtection="1">
      <protection hidden="1"/>
    </xf>
    <xf numFmtId="177" fontId="27" fillId="0" borderId="23" xfId="7" applyNumberFormat="1" applyFont="1" applyFill="1" applyBorder="1" applyProtection="1">
      <protection hidden="1"/>
    </xf>
    <xf numFmtId="177" fontId="36" fillId="0" borderId="28" xfId="7" applyNumberFormat="1" applyFont="1" applyFill="1" applyBorder="1" applyProtection="1">
      <protection hidden="1"/>
    </xf>
    <xf numFmtId="177" fontId="27" fillId="0" borderId="29" xfId="7" applyNumberFormat="1" applyFont="1" applyFill="1" applyBorder="1" applyProtection="1">
      <protection hidden="1"/>
    </xf>
    <xf numFmtId="177" fontId="35" fillId="0" borderId="14" xfId="7" applyNumberFormat="1" applyFont="1" applyFill="1" applyBorder="1" applyProtection="1">
      <protection hidden="1"/>
    </xf>
    <xf numFmtId="177" fontId="31" fillId="0" borderId="16" xfId="7" applyNumberFormat="1" applyFont="1" applyFill="1" applyBorder="1" applyProtection="1">
      <protection hidden="1"/>
    </xf>
    <xf numFmtId="177" fontId="35" fillId="0" borderId="0" xfId="7" applyNumberFormat="1" applyFont="1" applyFill="1" applyAlignment="1" applyProtection="1">
      <protection hidden="1"/>
    </xf>
    <xf numFmtId="176" fontId="27" fillId="0" borderId="18" xfId="8" applyNumberFormat="1" applyFont="1" applyFill="1" applyBorder="1" applyProtection="1">
      <protection hidden="1"/>
    </xf>
    <xf numFmtId="177" fontId="27" fillId="0" borderId="0" xfId="8" applyNumberFormat="1" applyFont="1" applyFill="1" applyProtection="1">
      <protection hidden="1"/>
    </xf>
    <xf numFmtId="177" fontId="35" fillId="0" borderId="25" xfId="7" applyNumberFormat="1" applyFont="1" applyFill="1" applyBorder="1" applyAlignment="1" applyProtection="1">
      <alignment horizontal="center"/>
      <protection hidden="1"/>
    </xf>
    <xf numFmtId="177" fontId="35" fillId="0" borderId="26" xfId="7" applyNumberFormat="1" applyFont="1" applyFill="1" applyBorder="1" applyAlignment="1" applyProtection="1">
      <alignment horizontal="center"/>
      <protection hidden="1"/>
    </xf>
    <xf numFmtId="176" fontId="27" fillId="0" borderId="21" xfId="8" applyNumberFormat="1" applyFont="1" applyFill="1" applyBorder="1" applyProtection="1">
      <protection hidden="1"/>
    </xf>
    <xf numFmtId="177" fontId="27" fillId="0" borderId="7" xfId="7" applyNumberFormat="1" applyFont="1" applyFill="1" applyBorder="1" applyProtection="1">
      <protection hidden="1"/>
    </xf>
    <xf numFmtId="177" fontId="36" fillId="0" borderId="0" xfId="7" applyNumberFormat="1" applyFont="1" applyFill="1" applyBorder="1" applyProtection="1">
      <protection hidden="1"/>
    </xf>
    <xf numFmtId="177" fontId="35" fillId="0" borderId="0" xfId="7" applyNumberFormat="1" applyFont="1" applyFill="1" applyBorder="1" applyProtection="1">
      <protection hidden="1"/>
    </xf>
    <xf numFmtId="177" fontId="31" fillId="0" borderId="0" xfId="7" applyNumberFormat="1" applyFont="1" applyFill="1" applyBorder="1" applyProtection="1">
      <protection hidden="1"/>
    </xf>
    <xf numFmtId="177" fontId="35" fillId="0" borderId="0" xfId="7" applyNumberFormat="1" applyFont="1" applyFill="1" applyBorder="1" applyAlignment="1" applyProtection="1">
      <protection hidden="1"/>
    </xf>
    <xf numFmtId="164" fontId="0" fillId="0" borderId="0" xfId="0" applyNumberFormat="1"/>
    <xf numFmtId="0" fontId="13" fillId="5" borderId="1" xfId="0" applyFont="1" applyFill="1" applyBorder="1" applyAlignment="1">
      <alignment horizontal="center"/>
    </xf>
    <xf numFmtId="0" fontId="13" fillId="5" borderId="2" xfId="0" applyFont="1" applyFill="1" applyBorder="1" applyAlignment="1">
      <alignment horizontal="center"/>
    </xf>
    <xf numFmtId="0" fontId="13" fillId="5" borderId="1" xfId="0" applyFont="1" applyFill="1" applyBorder="1" applyAlignment="1">
      <alignment horizontal="center" vertical="center"/>
    </xf>
    <xf numFmtId="0" fontId="27" fillId="0" borderId="9" xfId="3" applyFont="1" applyBorder="1" applyProtection="1">
      <protection hidden="1"/>
    </xf>
    <xf numFmtId="0" fontId="27" fillId="0" borderId="10" xfId="3" applyFont="1" applyBorder="1" applyProtection="1">
      <protection hidden="1"/>
    </xf>
    <xf numFmtId="0" fontId="27" fillId="0" borderId="11" xfId="3" applyFont="1" applyBorder="1" applyProtection="1">
      <protection hidden="1"/>
    </xf>
    <xf numFmtId="0" fontId="32" fillId="0" borderId="9" xfId="3" applyFont="1" applyFill="1" applyBorder="1" applyProtection="1">
      <protection hidden="1"/>
    </xf>
    <xf numFmtId="0" fontId="32" fillId="0" borderId="10" xfId="3" applyFont="1" applyFill="1" applyBorder="1" applyProtection="1">
      <protection hidden="1"/>
    </xf>
    <xf numFmtId="0" fontId="32" fillId="0" borderId="11" xfId="3" applyFont="1" applyFill="1" applyBorder="1" applyProtection="1">
      <protection hidden="1"/>
    </xf>
    <xf numFmtId="0" fontId="31" fillId="0" borderId="9" xfId="3" applyFont="1" applyFill="1" applyBorder="1" applyProtection="1">
      <protection hidden="1"/>
    </xf>
    <xf numFmtId="0" fontId="31" fillId="0" borderId="10" xfId="3" applyFont="1" applyFill="1" applyBorder="1" applyProtection="1">
      <protection hidden="1"/>
    </xf>
    <xf numFmtId="0" fontId="31" fillId="0" borderId="11" xfId="3" applyFont="1" applyFill="1" applyBorder="1" applyProtection="1">
      <protection hidden="1"/>
    </xf>
    <xf numFmtId="0" fontId="31" fillId="0" borderId="9" xfId="3" applyFont="1" applyBorder="1" applyProtection="1">
      <protection hidden="1"/>
    </xf>
    <xf numFmtId="0" fontId="31" fillId="0" borderId="10" xfId="3" applyFont="1" applyBorder="1" applyProtection="1">
      <protection hidden="1"/>
    </xf>
    <xf numFmtId="0" fontId="31" fillId="0" borderId="11" xfId="3" applyFont="1" applyBorder="1" applyProtection="1">
      <protection hidden="1"/>
    </xf>
    <xf numFmtId="0" fontId="27" fillId="0" borderId="9" xfId="3" applyFont="1" applyFill="1" applyBorder="1" applyProtection="1">
      <protection hidden="1"/>
    </xf>
    <xf numFmtId="0" fontId="27" fillId="0" borderId="10" xfId="3" applyFont="1" applyFill="1" applyBorder="1" applyProtection="1">
      <protection hidden="1"/>
    </xf>
    <xf numFmtId="0" fontId="27" fillId="0" borderId="11" xfId="3" applyFont="1" applyFill="1" applyBorder="1" applyProtection="1">
      <protection hidden="1"/>
    </xf>
    <xf numFmtId="0" fontId="30" fillId="0" borderId="0" xfId="3" applyFont="1" applyBorder="1" applyAlignment="1" applyProtection="1">
      <alignment horizontal="left" vertical="center" wrapText="1"/>
      <protection hidden="1"/>
    </xf>
    <xf numFmtId="0" fontId="30" fillId="0" borderId="5" xfId="3" applyFont="1" applyBorder="1" applyAlignment="1" applyProtection="1">
      <alignment horizontal="left" vertical="center" wrapText="1"/>
      <protection hidden="1"/>
    </xf>
    <xf numFmtId="0" fontId="27" fillId="0" borderId="9" xfId="3" applyFont="1" applyFill="1" applyBorder="1" applyAlignment="1" applyProtection="1">
      <alignment horizontal="left"/>
      <protection hidden="1"/>
    </xf>
    <xf numFmtId="0" fontId="27" fillId="0" borderId="11" xfId="3" applyFont="1" applyFill="1" applyBorder="1" applyAlignment="1" applyProtection="1">
      <alignment horizontal="left"/>
      <protection hidden="1"/>
    </xf>
    <xf numFmtId="0" fontId="27" fillId="0" borderId="10" xfId="3" applyFont="1" applyFill="1" applyBorder="1" applyAlignment="1" applyProtection="1">
      <alignment horizontal="left"/>
      <protection hidden="1"/>
    </xf>
    <xf numFmtId="177" fontId="27" fillId="0" borderId="0" xfId="7" applyNumberFormat="1" applyFont="1" applyFill="1" applyAlignment="1" applyProtection="1">
      <alignment horizontal="center"/>
      <protection hidden="1"/>
    </xf>
    <xf numFmtId="177" fontId="35" fillId="0" borderId="0" xfId="7" applyNumberFormat="1" applyFont="1" applyFill="1" applyBorder="1" applyAlignment="1" applyProtection="1">
      <alignment horizontal="center"/>
      <protection hidden="1"/>
    </xf>
    <xf numFmtId="177" fontId="27" fillId="0" borderId="5" xfId="7" applyNumberFormat="1" applyFont="1" applyFill="1" applyBorder="1" applyAlignment="1" applyProtection="1">
      <alignment horizontal="center"/>
      <protection hidden="1"/>
    </xf>
  </cellXfs>
  <cellStyles count="9">
    <cellStyle name="Millares" xfId="1" builtinId="3"/>
    <cellStyle name="Millares 2" xfId="6"/>
    <cellStyle name="Millares 3" xfId="7"/>
    <cellStyle name="Moneda 2" xfId="4"/>
    <cellStyle name="Normal" xfId="0" builtinId="0"/>
    <cellStyle name="Normal 2" xfId="3"/>
    <cellStyle name="Normal 3" xfId="8"/>
    <cellStyle name="Porcentaje" xfId="2" builtinId="5"/>
    <cellStyle name="Porcentaje 2" xfId="5"/>
  </cellStyles>
  <dxfs count="1">
    <dxf>
      <font>
        <b/>
        <i val="0"/>
        <color theme="0"/>
      </font>
      <numFmt numFmtId="3" formatCode="#,##0"/>
      <fill>
        <patternFill>
          <bgColor theme="9"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List" dx="16" fmlaLink="$A$17" fmlaRange="Lista_periodos" sel="4" val="0"/>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Tabla de Amortizaci&#243;n'!A1"/></Relationships>
</file>

<file path=xl/drawings/_rels/drawing2.xml.rels><?xml version="1.0" encoding="UTF-8" standalone="yes"?>
<Relationships xmlns="http://schemas.openxmlformats.org/package/2006/relationships"><Relationship Id="rId1" Type="http://schemas.openxmlformats.org/officeDocument/2006/relationships/hyperlink" Target="#amortizacion"/></Relationships>
</file>

<file path=xl/drawings/drawing1.xml><?xml version="1.0" encoding="utf-8"?>
<xdr:wsDr xmlns:xdr="http://schemas.openxmlformats.org/drawingml/2006/spreadsheetDrawing" xmlns:a="http://schemas.openxmlformats.org/drawingml/2006/main">
  <xdr:twoCellAnchor>
    <xdr:from>
      <xdr:col>4</xdr:col>
      <xdr:colOff>437030</xdr:colOff>
      <xdr:row>89</xdr:row>
      <xdr:rowOff>100853</xdr:rowOff>
    </xdr:from>
    <xdr:to>
      <xdr:col>4</xdr:col>
      <xdr:colOff>795618</xdr:colOff>
      <xdr:row>91</xdr:row>
      <xdr:rowOff>56029</xdr:rowOff>
    </xdr:to>
    <xdr:sp macro="" textlink="">
      <xdr:nvSpPr>
        <xdr:cNvPr id="2" name="1 Flecha derecha">
          <a:hlinkClick xmlns:r="http://schemas.openxmlformats.org/officeDocument/2006/relationships" r:id="rId1"/>
        </xdr:cNvPr>
        <xdr:cNvSpPr/>
      </xdr:nvSpPr>
      <xdr:spPr>
        <a:xfrm>
          <a:off x="6523505" y="14807453"/>
          <a:ext cx="358588" cy="27902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s-CO" sz="1100"/>
        </a:p>
      </xdr:txBody>
    </xdr:sp>
    <xdr:clientData/>
  </xdr:twoCellAnchor>
  <mc:AlternateContent xmlns:mc="http://schemas.openxmlformats.org/markup-compatibility/2006">
    <mc:Choice xmlns:a14="http://schemas.microsoft.com/office/drawing/2010/main" Requires="a14">
      <xdr:twoCellAnchor editAs="oneCell">
        <xdr:from>
          <xdr:col>2</xdr:col>
          <xdr:colOff>38100</xdr:colOff>
          <xdr:row>14</xdr:row>
          <xdr:rowOff>57150</xdr:rowOff>
        </xdr:from>
        <xdr:to>
          <xdr:col>2</xdr:col>
          <xdr:colOff>723900</xdr:colOff>
          <xdr:row>22</xdr:row>
          <xdr:rowOff>38100</xdr:rowOff>
        </xdr:to>
        <xdr:sp macro="" textlink="">
          <xdr:nvSpPr>
            <xdr:cNvPr id="1025" name="List Box 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0</xdr:col>
      <xdr:colOff>694763</xdr:colOff>
      <xdr:row>0</xdr:row>
      <xdr:rowOff>0</xdr:rowOff>
    </xdr:from>
    <xdr:to>
      <xdr:col>1</xdr:col>
      <xdr:colOff>2001406</xdr:colOff>
      <xdr:row>7</xdr:row>
      <xdr:rowOff>9525</xdr:rowOff>
    </xdr:to>
    <xdr:pic>
      <xdr:nvPicPr>
        <xdr:cNvPr id="5" name="4 Imagen"/>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4763" y="0"/>
          <a:ext cx="2068643"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178593</xdr:colOff>
      <xdr:row>0</xdr:row>
      <xdr:rowOff>0</xdr:rowOff>
    </xdr:from>
    <xdr:to>
      <xdr:col>0</xdr:col>
      <xdr:colOff>476249</xdr:colOff>
      <xdr:row>1</xdr:row>
      <xdr:rowOff>59531</xdr:rowOff>
    </xdr:to>
    <xdr:sp macro="" textlink="">
      <xdr:nvSpPr>
        <xdr:cNvPr id="2" name="1 Flecha izquierda">
          <a:hlinkClick xmlns:r="http://schemas.openxmlformats.org/officeDocument/2006/relationships" r:id="rId1"/>
        </xdr:cNvPr>
        <xdr:cNvSpPr/>
      </xdr:nvSpPr>
      <xdr:spPr>
        <a:xfrm>
          <a:off x="178593" y="0"/>
          <a:ext cx="297656" cy="221456"/>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s-CO"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hanna.rosania\Downloads\Modelo%20financier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o"/>
      <sheetName val="Listas"/>
      <sheetName val="Tabla de Amortización"/>
    </sheetNames>
    <sheetDataSet>
      <sheetData sheetId="0" refreshError="1">
        <row r="89">
          <cell r="D89">
            <v>0.14000000000000001</v>
          </cell>
        </row>
        <row r="91">
          <cell r="C91" t="str">
            <v>Francés o de Instalamentos</v>
          </cell>
        </row>
      </sheetData>
      <sheetData sheetId="1" refreshError="1">
        <row r="1">
          <cell r="A1">
            <v>1</v>
          </cell>
          <cell r="N1">
            <v>1</v>
          </cell>
        </row>
        <row r="2">
          <cell r="A2">
            <v>2</v>
          </cell>
          <cell r="D2" t="str">
            <v>Tasa de Oportunidad</v>
          </cell>
          <cell r="E2">
            <v>1</v>
          </cell>
          <cell r="G2" t="str">
            <v>Comercial</v>
          </cell>
          <cell r="H2">
            <v>1</v>
          </cell>
          <cell r="K2" t="str">
            <v>Mensual</v>
          </cell>
          <cell r="L2">
            <v>12</v>
          </cell>
          <cell r="N2">
            <v>2</v>
          </cell>
        </row>
        <row r="3">
          <cell r="A3">
            <v>3</v>
          </cell>
          <cell r="D3" t="str">
            <v>WACC</v>
          </cell>
          <cell r="E3">
            <v>2</v>
          </cell>
          <cell r="G3" t="str">
            <v>Francés o de Instalamentos</v>
          </cell>
          <cell r="H3">
            <v>2</v>
          </cell>
          <cell r="K3" t="str">
            <v>Trimestral</v>
          </cell>
          <cell r="L3">
            <v>4</v>
          </cell>
          <cell r="N3">
            <v>3</v>
          </cell>
        </row>
        <row r="4">
          <cell r="A4">
            <v>4</v>
          </cell>
          <cell r="K4" t="str">
            <v>Semestral</v>
          </cell>
          <cell r="L4">
            <v>2</v>
          </cell>
          <cell r="N4">
            <v>4</v>
          </cell>
        </row>
        <row r="5">
          <cell r="A5">
            <v>5</v>
          </cell>
          <cell r="K5" t="str">
            <v>Anual</v>
          </cell>
          <cell r="L5">
            <v>1</v>
          </cell>
          <cell r="N5">
            <v>5</v>
          </cell>
        </row>
        <row r="6">
          <cell r="A6">
            <v>6</v>
          </cell>
          <cell r="N6">
            <v>6</v>
          </cell>
        </row>
        <row r="7">
          <cell r="A7">
            <v>7</v>
          </cell>
          <cell r="N7">
            <v>7</v>
          </cell>
        </row>
        <row r="8">
          <cell r="A8">
            <v>8</v>
          </cell>
          <cell r="N8">
            <v>8</v>
          </cell>
        </row>
        <row r="9">
          <cell r="A9">
            <v>9</v>
          </cell>
          <cell r="N9">
            <v>9</v>
          </cell>
        </row>
        <row r="10">
          <cell r="A10">
            <v>10</v>
          </cell>
          <cell r="N10">
            <v>10</v>
          </cell>
        </row>
      </sheetData>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21"/>
  <sheetViews>
    <sheetView showGridLines="0" tabSelected="1" zoomScaleNormal="100" workbookViewId="0">
      <pane ySplit="8" topLeftCell="A9" activePane="bottomLeft" state="frozen"/>
      <selection pane="bottomLeft" activeCell="D283" sqref="D283"/>
    </sheetView>
  </sheetViews>
  <sheetFormatPr baseColWidth="10" defaultRowHeight="12.75" outlineLevelRow="1" x14ac:dyDescent="0.2"/>
  <cols>
    <col min="2" max="2" width="38" customWidth="1"/>
    <col min="3" max="3" width="11.5703125" customWidth="1"/>
    <col min="4" max="4" width="18.42578125" bestFit="1" customWidth="1"/>
    <col min="5" max="5" width="16.42578125" bestFit="1" customWidth="1"/>
    <col min="6" max="8" width="15.7109375" bestFit="1" customWidth="1"/>
    <col min="9" max="9" width="12.85546875" customWidth="1"/>
    <col min="10" max="14" width="15.7109375" bestFit="1" customWidth="1"/>
    <col min="15" max="24" width="16.85546875" customWidth="1"/>
  </cols>
  <sheetData>
    <row r="1" spans="2:24" outlineLevel="1" x14ac:dyDescent="0.2">
      <c r="C1" s="1" t="e">
        <f>+C187</f>
        <v>#REF!</v>
      </c>
      <c r="E1" s="2">
        <v>1</v>
      </c>
      <c r="F1" s="2">
        <v>2</v>
      </c>
      <c r="G1" s="2">
        <v>3</v>
      </c>
      <c r="H1" s="2">
        <v>4</v>
      </c>
      <c r="I1" s="2">
        <v>5</v>
      </c>
      <c r="J1" s="2">
        <v>6</v>
      </c>
      <c r="K1" s="2">
        <v>7</v>
      </c>
      <c r="L1" s="2">
        <v>8</v>
      </c>
      <c r="M1" s="2">
        <v>9</v>
      </c>
      <c r="N1" s="2">
        <v>10</v>
      </c>
      <c r="O1" s="2">
        <v>11</v>
      </c>
      <c r="P1" s="2">
        <v>12</v>
      </c>
      <c r="Q1" s="2">
        <v>13</v>
      </c>
      <c r="R1" s="2">
        <v>14</v>
      </c>
      <c r="S1" s="2">
        <v>15</v>
      </c>
      <c r="T1" s="2">
        <v>16</v>
      </c>
      <c r="U1" s="2">
        <v>17</v>
      </c>
      <c r="V1" s="2">
        <v>18</v>
      </c>
      <c r="W1" s="2">
        <v>19</v>
      </c>
      <c r="X1" s="2">
        <v>20</v>
      </c>
    </row>
    <row r="2" spans="2:24" outlineLevel="1" x14ac:dyDescent="0.2">
      <c r="B2" s="3" t="s">
        <v>0</v>
      </c>
      <c r="D2">
        <v>1</v>
      </c>
      <c r="E2" s="4">
        <f>+IF($A$17&gt;=E1,1,0)</f>
        <v>1</v>
      </c>
      <c r="F2" s="4">
        <f t="shared" ref="F2:X2" si="0">+IF($A$17&gt;=F1,1,0)</f>
        <v>1</v>
      </c>
      <c r="G2" s="4">
        <f t="shared" si="0"/>
        <v>1</v>
      </c>
      <c r="H2" s="4">
        <f t="shared" si="0"/>
        <v>1</v>
      </c>
      <c r="I2" s="4">
        <f t="shared" si="0"/>
        <v>0</v>
      </c>
      <c r="J2" s="4">
        <f t="shared" si="0"/>
        <v>0</v>
      </c>
      <c r="K2" s="4">
        <f t="shared" si="0"/>
        <v>0</v>
      </c>
      <c r="L2" s="4">
        <f t="shared" si="0"/>
        <v>0</v>
      </c>
      <c r="M2" s="4">
        <f t="shared" si="0"/>
        <v>0</v>
      </c>
      <c r="N2" s="4">
        <f t="shared" si="0"/>
        <v>0</v>
      </c>
      <c r="O2" s="4">
        <f t="shared" si="0"/>
        <v>0</v>
      </c>
      <c r="P2" s="4">
        <f t="shared" si="0"/>
        <v>0</v>
      </c>
      <c r="Q2" s="4">
        <f t="shared" si="0"/>
        <v>0</v>
      </c>
      <c r="R2" s="4">
        <f t="shared" si="0"/>
        <v>0</v>
      </c>
      <c r="S2" s="4">
        <f t="shared" si="0"/>
        <v>0</v>
      </c>
      <c r="T2" s="4">
        <f t="shared" si="0"/>
        <v>0</v>
      </c>
      <c r="U2" s="4">
        <f t="shared" si="0"/>
        <v>0</v>
      </c>
      <c r="V2" s="4">
        <f t="shared" si="0"/>
        <v>0</v>
      </c>
      <c r="W2" s="4">
        <f t="shared" si="0"/>
        <v>0</v>
      </c>
      <c r="X2" s="4">
        <f t="shared" si="0"/>
        <v>0</v>
      </c>
    </row>
    <row r="5" spans="2:24" x14ac:dyDescent="0.2">
      <c r="E5">
        <f>29377/5</f>
        <v>5875.4</v>
      </c>
    </row>
    <row r="8" spans="2:24" ht="18.75" x14ac:dyDescent="0.3">
      <c r="B8" s="5" t="s">
        <v>1</v>
      </c>
      <c r="D8" s="6">
        <v>0</v>
      </c>
      <c r="E8" s="7">
        <v>2015</v>
      </c>
      <c r="F8" s="7">
        <v>2016</v>
      </c>
      <c r="G8" s="7">
        <v>2017</v>
      </c>
      <c r="H8" s="7">
        <v>2018</v>
      </c>
      <c r="I8" s="7">
        <v>2019</v>
      </c>
      <c r="J8" s="7">
        <v>2020</v>
      </c>
      <c r="K8" s="7">
        <v>2021</v>
      </c>
      <c r="L8" s="7">
        <v>2022</v>
      </c>
      <c r="M8" s="7">
        <v>2022</v>
      </c>
      <c r="N8" s="7">
        <v>2022</v>
      </c>
      <c r="O8" s="7">
        <v>2023</v>
      </c>
    </row>
    <row r="10" spans="2:24" x14ac:dyDescent="0.2">
      <c r="B10" s="8" t="s">
        <v>2</v>
      </c>
      <c r="C10" s="9" t="s">
        <v>239</v>
      </c>
    </row>
    <row r="14" spans="2:24" ht="18.75" x14ac:dyDescent="0.3">
      <c r="B14" s="10" t="s">
        <v>3</v>
      </c>
    </row>
    <row r="17" spans="1:24" x14ac:dyDescent="0.2">
      <c r="A17" s="11">
        <v>4</v>
      </c>
    </row>
    <row r="19" spans="1:24" x14ac:dyDescent="0.2">
      <c r="B19" s="12" t="s">
        <v>4</v>
      </c>
    </row>
    <row r="23" spans="1:24" ht="15" x14ac:dyDescent="0.25">
      <c r="B23" s="13" t="s">
        <v>5</v>
      </c>
    </row>
    <row r="25" spans="1:24" outlineLevel="1" x14ac:dyDescent="0.2">
      <c r="B25" t="s">
        <v>6</v>
      </c>
      <c r="D25" s="14"/>
      <c r="E25" s="14"/>
      <c r="F25" s="15">
        <v>0.04</v>
      </c>
      <c r="G25" s="15">
        <v>0.04</v>
      </c>
      <c r="H25" s="15">
        <v>0.04</v>
      </c>
      <c r="I25" s="15">
        <v>0.04</v>
      </c>
      <c r="J25" s="15">
        <v>0.04</v>
      </c>
      <c r="K25" s="15">
        <v>0.04</v>
      </c>
      <c r="L25" s="15">
        <v>0.04</v>
      </c>
      <c r="M25" s="15">
        <v>0.04</v>
      </c>
      <c r="N25" s="15">
        <v>0.04</v>
      </c>
      <c r="O25" s="15">
        <v>0.04</v>
      </c>
      <c r="P25" s="15">
        <v>0.04</v>
      </c>
      <c r="Q25" s="15">
        <v>0.04</v>
      </c>
      <c r="R25" s="15">
        <v>0.04</v>
      </c>
      <c r="S25" s="15">
        <v>0.04</v>
      </c>
      <c r="T25" s="15">
        <v>0.04</v>
      </c>
      <c r="U25" s="15">
        <v>0.04</v>
      </c>
      <c r="V25" s="15">
        <v>0.04</v>
      </c>
      <c r="W25" s="15">
        <v>0.04</v>
      </c>
      <c r="X25" s="15">
        <v>0.04</v>
      </c>
    </row>
    <row r="26" spans="1:24" outlineLevel="1" x14ac:dyDescent="0.2">
      <c r="B26" t="s">
        <v>7</v>
      </c>
      <c r="D26" s="14"/>
      <c r="E26" s="14"/>
      <c r="F26" s="16">
        <f>+(1+E26)*(1+F25)-1</f>
        <v>4.0000000000000036E-2</v>
      </c>
      <c r="G26" s="16">
        <f t="shared" ref="G26:O26" si="1">+(1+F26)*(1+G25)-1</f>
        <v>8.1600000000000117E-2</v>
      </c>
      <c r="H26" s="16">
        <f t="shared" si="1"/>
        <v>0.12486400000000009</v>
      </c>
      <c r="I26" s="16">
        <f t="shared" si="1"/>
        <v>0.16985856000000021</v>
      </c>
      <c r="J26" s="16">
        <f t="shared" si="1"/>
        <v>0.21665290240000035</v>
      </c>
      <c r="K26" s="16">
        <f t="shared" si="1"/>
        <v>0.26531901849600037</v>
      </c>
      <c r="L26" s="16">
        <f t="shared" si="1"/>
        <v>0.31593177923584048</v>
      </c>
      <c r="M26" s="16">
        <f t="shared" si="1"/>
        <v>0.3685690504052741</v>
      </c>
      <c r="N26" s="16">
        <f t="shared" si="1"/>
        <v>0.42331181242148519</v>
      </c>
      <c r="O26" s="16">
        <f t="shared" si="1"/>
        <v>0.48024428491834459</v>
      </c>
      <c r="P26" s="16">
        <f t="shared" ref="P26" si="2">+(1+O26)*(1+P25)-1</f>
        <v>0.53945405631507848</v>
      </c>
      <c r="Q26" s="16">
        <f t="shared" ref="Q26" si="3">+(1+P26)*(1+Q25)-1</f>
        <v>0.60103221856768174</v>
      </c>
      <c r="R26" s="16">
        <f t="shared" ref="R26" si="4">+(1+Q26)*(1+R25)-1</f>
        <v>0.66507350731038906</v>
      </c>
      <c r="S26" s="16">
        <f t="shared" ref="S26" si="5">+(1+R26)*(1+S25)-1</f>
        <v>0.73167644760280459</v>
      </c>
      <c r="T26" s="16">
        <f t="shared" ref="T26" si="6">+(1+S26)*(1+T25)-1</f>
        <v>0.80094350550691673</v>
      </c>
      <c r="U26" s="16">
        <f t="shared" ref="U26" si="7">+(1+T26)*(1+U25)-1</f>
        <v>0.87298124572719349</v>
      </c>
      <c r="V26" s="16">
        <f t="shared" ref="V26" si="8">+(1+U26)*(1+V25)-1</f>
        <v>0.94790049555628131</v>
      </c>
      <c r="W26" s="16">
        <f t="shared" ref="W26" si="9">+(1+V26)*(1+W25)-1</f>
        <v>1.0258165153785326</v>
      </c>
      <c r="X26" s="16">
        <f t="shared" ref="X26" si="10">+(1+W26)*(1+X25)-1</f>
        <v>1.1068491759936738</v>
      </c>
    </row>
    <row r="27" spans="1:24" outlineLevel="1" x14ac:dyDescent="0.2"/>
    <row r="28" spans="1:24" outlineLevel="1" x14ac:dyDescent="0.2">
      <c r="B28" t="s">
        <v>8</v>
      </c>
      <c r="D28" s="14"/>
      <c r="E28" s="15">
        <v>0.34</v>
      </c>
      <c r="F28" s="15">
        <v>0.34</v>
      </c>
      <c r="G28" s="15">
        <v>0.34</v>
      </c>
      <c r="H28" s="15">
        <v>0.34</v>
      </c>
      <c r="I28" s="15">
        <v>0.34</v>
      </c>
      <c r="J28" s="15">
        <v>0.34</v>
      </c>
      <c r="K28" s="15">
        <v>0.34</v>
      </c>
      <c r="L28" s="15">
        <v>0.34</v>
      </c>
      <c r="M28" s="15">
        <v>0.34</v>
      </c>
      <c r="N28" s="15">
        <v>0.34</v>
      </c>
      <c r="O28" s="15">
        <v>0.34</v>
      </c>
      <c r="P28" s="15">
        <v>1.34</v>
      </c>
      <c r="Q28" s="15">
        <v>2.34</v>
      </c>
      <c r="R28" s="15">
        <v>3.34</v>
      </c>
      <c r="S28" s="15">
        <v>4.34</v>
      </c>
      <c r="T28" s="15">
        <v>5.34</v>
      </c>
      <c r="U28" s="15">
        <v>6.34</v>
      </c>
      <c r="V28" s="15">
        <v>7.34</v>
      </c>
      <c r="W28" s="15">
        <v>8.34</v>
      </c>
      <c r="X28" s="15">
        <v>9.34</v>
      </c>
    </row>
    <row r="29" spans="1:24" outlineLevel="1" x14ac:dyDescent="0.2"/>
    <row r="31" spans="1:24" ht="15" x14ac:dyDescent="0.25">
      <c r="B31" s="13" t="s">
        <v>9</v>
      </c>
    </row>
    <row r="33" spans="2:24" outlineLevel="1" x14ac:dyDescent="0.2">
      <c r="B33" s="8" t="s">
        <v>10</v>
      </c>
    </row>
    <row r="34" spans="2:24" outlineLevel="1" x14ac:dyDescent="0.2">
      <c r="B34" s="17" t="s">
        <v>186</v>
      </c>
      <c r="C34" s="130"/>
      <c r="D34" s="14"/>
      <c r="E34" s="18">
        <v>5000</v>
      </c>
      <c r="F34" s="19">
        <f>+E34*(1+F35)*F$2</f>
        <v>5150</v>
      </c>
      <c r="G34" s="19">
        <f>+F34*(1+G35)*G$2</f>
        <v>5407.5</v>
      </c>
      <c r="H34" s="19">
        <f t="shared" ref="H34:O34" si="11">+G34*(1+H35)*H$2</f>
        <v>5677.875</v>
      </c>
      <c r="I34" s="19">
        <f t="shared" si="11"/>
        <v>0</v>
      </c>
      <c r="J34" s="19">
        <f t="shared" si="11"/>
        <v>0</v>
      </c>
      <c r="K34" s="19">
        <f t="shared" si="11"/>
        <v>0</v>
      </c>
      <c r="L34" s="19">
        <f t="shared" si="11"/>
        <v>0</v>
      </c>
      <c r="M34" s="19">
        <f t="shared" si="11"/>
        <v>0</v>
      </c>
      <c r="N34" s="19">
        <f t="shared" si="11"/>
        <v>0</v>
      </c>
      <c r="O34" s="19">
        <f t="shared" si="11"/>
        <v>0</v>
      </c>
      <c r="P34" s="19">
        <f t="shared" ref="P34" si="12">+O34*(1+P35)*P$2</f>
        <v>0</v>
      </c>
      <c r="Q34" s="19">
        <f t="shared" ref="Q34" si="13">+P34*(1+Q35)*Q$2</f>
        <v>0</v>
      </c>
      <c r="R34" s="19">
        <f t="shared" ref="R34" si="14">+Q34*(1+R35)*R$2</f>
        <v>0</v>
      </c>
      <c r="S34" s="19">
        <f t="shared" ref="S34" si="15">+R34*(1+S35)*S$2</f>
        <v>0</v>
      </c>
      <c r="T34" s="19">
        <f t="shared" ref="T34" si="16">+S34*(1+T35)*T$2</f>
        <v>0</v>
      </c>
      <c r="U34" s="19">
        <f t="shared" ref="U34" si="17">+T34*(1+U35)*U$2</f>
        <v>0</v>
      </c>
      <c r="V34" s="19">
        <f t="shared" ref="V34" si="18">+U34*(1+V35)*V$2</f>
        <v>0</v>
      </c>
      <c r="W34" s="19">
        <f t="shared" ref="W34" si="19">+V34*(1+W35)*W$2</f>
        <v>0</v>
      </c>
      <c r="X34" s="19">
        <f t="shared" ref="X34" si="20">+W34*(1+X35)*X$2</f>
        <v>0</v>
      </c>
    </row>
    <row r="35" spans="2:24" outlineLevel="1" x14ac:dyDescent="0.2">
      <c r="B35" s="17" t="s">
        <v>11</v>
      </c>
      <c r="D35" s="14"/>
      <c r="E35" s="14"/>
      <c r="F35" s="15">
        <v>0.03</v>
      </c>
      <c r="G35" s="15">
        <v>0.05</v>
      </c>
      <c r="H35" s="15">
        <v>0.05</v>
      </c>
      <c r="I35" s="15">
        <v>0.05</v>
      </c>
      <c r="J35" s="15">
        <v>0.05</v>
      </c>
      <c r="K35" s="15">
        <v>0.05</v>
      </c>
      <c r="L35" s="15">
        <v>0.1</v>
      </c>
      <c r="M35" s="15">
        <v>0.1</v>
      </c>
      <c r="N35" s="15">
        <v>0.1</v>
      </c>
      <c r="O35" s="15">
        <v>0.1</v>
      </c>
      <c r="P35" s="15">
        <v>1.1000000000000001</v>
      </c>
      <c r="Q35" s="15">
        <v>2.1</v>
      </c>
      <c r="R35" s="15">
        <v>3.1</v>
      </c>
      <c r="S35" s="15">
        <v>4.0999999999999996</v>
      </c>
      <c r="T35" s="15">
        <v>5.0999999999999996</v>
      </c>
      <c r="U35" s="15">
        <v>6.1</v>
      </c>
      <c r="V35" s="15">
        <v>7.1</v>
      </c>
      <c r="W35" s="15">
        <v>8.1</v>
      </c>
      <c r="X35" s="15">
        <v>9.1</v>
      </c>
    </row>
    <row r="36" spans="2:24" outlineLevel="1" x14ac:dyDescent="0.2">
      <c r="E36" s="179">
        <f>+E34*E38</f>
        <v>313500000</v>
      </c>
    </row>
    <row r="37" spans="2:24" outlineLevel="1" x14ac:dyDescent="0.2">
      <c r="B37" s="8" t="s">
        <v>12</v>
      </c>
    </row>
    <row r="38" spans="2:24" outlineLevel="1" x14ac:dyDescent="0.2">
      <c r="B38" s="17" t="s">
        <v>187</v>
      </c>
      <c r="D38" s="14"/>
      <c r="E38" s="18">
        <v>62700</v>
      </c>
      <c r="F38" s="19">
        <f>+E38*(1+F39)*F$2</f>
        <v>65835</v>
      </c>
      <c r="G38" s="19">
        <f>+F38*(1+G39)*G$2</f>
        <v>69126.75</v>
      </c>
      <c r="H38" s="19">
        <f t="shared" ref="H38:O38" si="21">+G38*(1+H39)*H$2</f>
        <v>72583.087500000009</v>
      </c>
      <c r="I38" s="19">
        <f t="shared" si="21"/>
        <v>0</v>
      </c>
      <c r="J38" s="19">
        <f t="shared" si="21"/>
        <v>0</v>
      </c>
      <c r="K38" s="19">
        <f t="shared" si="21"/>
        <v>0</v>
      </c>
      <c r="L38" s="19">
        <f t="shared" si="21"/>
        <v>0</v>
      </c>
      <c r="M38" s="19">
        <f t="shared" si="21"/>
        <v>0</v>
      </c>
      <c r="N38" s="19">
        <f t="shared" si="21"/>
        <v>0</v>
      </c>
      <c r="O38" s="19">
        <f t="shared" si="21"/>
        <v>0</v>
      </c>
      <c r="P38" s="19">
        <f t="shared" ref="P38" si="22">+O38*(1+P39)*P$2</f>
        <v>0</v>
      </c>
      <c r="Q38" s="19">
        <f t="shared" ref="Q38" si="23">+P38*(1+Q39)*Q$2</f>
        <v>0</v>
      </c>
      <c r="R38" s="19">
        <f t="shared" ref="R38" si="24">+Q38*(1+R39)*R$2</f>
        <v>0</v>
      </c>
      <c r="S38" s="19">
        <f t="shared" ref="S38" si="25">+R38*(1+S39)*S$2</f>
        <v>0</v>
      </c>
      <c r="T38" s="19">
        <f t="shared" ref="T38" si="26">+S38*(1+T39)*T$2</f>
        <v>0</v>
      </c>
      <c r="U38" s="19">
        <f t="shared" ref="U38" si="27">+T38*(1+U39)*U$2</f>
        <v>0</v>
      </c>
      <c r="V38" s="19">
        <f t="shared" ref="V38" si="28">+U38*(1+V39)*V$2</f>
        <v>0</v>
      </c>
      <c r="W38" s="19">
        <f t="shared" ref="W38" si="29">+V38*(1+W39)*W$2</f>
        <v>0</v>
      </c>
      <c r="X38" s="19">
        <f t="shared" ref="X38" si="30">+W38*(1+X39)*X$2</f>
        <v>0</v>
      </c>
    </row>
    <row r="39" spans="2:24" outlineLevel="1" x14ac:dyDescent="0.2">
      <c r="B39" s="17" t="s">
        <v>13</v>
      </c>
      <c r="D39" s="14"/>
      <c r="E39" s="14"/>
      <c r="F39" s="20">
        <v>0.05</v>
      </c>
      <c r="G39" s="20">
        <v>0.05</v>
      </c>
      <c r="H39" s="20">
        <v>0.05</v>
      </c>
      <c r="I39" s="20">
        <v>0.05</v>
      </c>
      <c r="J39" s="20">
        <v>0.05</v>
      </c>
      <c r="K39" s="20">
        <v>0.05</v>
      </c>
      <c r="L39" s="20">
        <v>0.05</v>
      </c>
      <c r="M39" s="20">
        <v>0.05</v>
      </c>
      <c r="N39" s="20">
        <v>0.05</v>
      </c>
      <c r="O39" s="20">
        <v>0.05</v>
      </c>
      <c r="P39" s="20">
        <v>1.05</v>
      </c>
      <c r="Q39" s="20">
        <v>2.0499999999999998</v>
      </c>
      <c r="R39" s="20">
        <v>3.05</v>
      </c>
      <c r="S39" s="20">
        <v>4.05</v>
      </c>
      <c r="T39" s="20">
        <v>5.05</v>
      </c>
      <c r="U39" s="20">
        <v>6.05</v>
      </c>
      <c r="V39" s="20">
        <v>7.05</v>
      </c>
      <c r="W39" s="20">
        <v>8.0500000000000007</v>
      </c>
      <c r="X39" s="20">
        <v>9.0500000000000007</v>
      </c>
    </row>
    <row r="40" spans="2:24" outlineLevel="1" x14ac:dyDescent="0.2"/>
    <row r="41" spans="2:24" outlineLevel="1" x14ac:dyDescent="0.2">
      <c r="B41" s="8" t="s">
        <v>14</v>
      </c>
    </row>
    <row r="42" spans="2:24" outlineLevel="1" x14ac:dyDescent="0.2">
      <c r="B42" s="17" t="s">
        <v>187</v>
      </c>
      <c r="D42" s="14"/>
      <c r="E42" s="18">
        <v>5875.4</v>
      </c>
      <c r="F42" s="19">
        <f>+E42*(1+F43)*F$2</f>
        <v>6118.64156</v>
      </c>
      <c r="G42" s="19">
        <f>+F42*(1+G43)*G$2</f>
        <v>6371.9533205840007</v>
      </c>
      <c r="H42" s="19">
        <f t="shared" ref="H42:O42" si="31">+G42*(1+H43)*H$2</f>
        <v>6635.752188056179</v>
      </c>
      <c r="I42" s="19">
        <f t="shared" si="31"/>
        <v>0</v>
      </c>
      <c r="J42" s="19">
        <f t="shared" si="31"/>
        <v>0</v>
      </c>
      <c r="K42" s="19">
        <f t="shared" si="31"/>
        <v>0</v>
      </c>
      <c r="L42" s="19">
        <f t="shared" si="31"/>
        <v>0</v>
      </c>
      <c r="M42" s="19">
        <f t="shared" si="31"/>
        <v>0</v>
      </c>
      <c r="N42" s="19">
        <f t="shared" si="31"/>
        <v>0</v>
      </c>
      <c r="O42" s="19">
        <f t="shared" si="31"/>
        <v>0</v>
      </c>
      <c r="P42" s="19">
        <f t="shared" ref="P42" si="32">+O42*(1+P43)*P$2</f>
        <v>0</v>
      </c>
      <c r="Q42" s="19">
        <f t="shared" ref="Q42" si="33">+P42*(1+Q43)*Q$2</f>
        <v>0</v>
      </c>
      <c r="R42" s="19">
        <f t="shared" ref="R42" si="34">+Q42*(1+R43)*R$2</f>
        <v>0</v>
      </c>
      <c r="S42" s="19">
        <f t="shared" ref="S42" si="35">+R42*(1+S43)*S$2</f>
        <v>0</v>
      </c>
      <c r="T42" s="19">
        <f t="shared" ref="T42" si="36">+S42*(1+T43)*T$2</f>
        <v>0</v>
      </c>
      <c r="U42" s="19">
        <f t="shared" ref="U42" si="37">+T42*(1+U43)*U$2</f>
        <v>0</v>
      </c>
      <c r="V42" s="19">
        <f t="shared" ref="V42" si="38">+U42*(1+V43)*V$2</f>
        <v>0</v>
      </c>
      <c r="W42" s="19">
        <f t="shared" ref="W42" si="39">+V42*(1+W43)*W$2</f>
        <v>0</v>
      </c>
      <c r="X42" s="19">
        <f t="shared" ref="X42" si="40">+W42*(1+X43)*X$2</f>
        <v>0</v>
      </c>
    </row>
    <row r="43" spans="2:24" outlineLevel="1" x14ac:dyDescent="0.2">
      <c r="B43" s="17" t="s">
        <v>13</v>
      </c>
      <c r="D43" s="14"/>
      <c r="E43" s="14"/>
      <c r="F43" s="21">
        <v>4.1399999999999999E-2</v>
      </c>
      <c r="G43" s="21">
        <v>4.1399999999999999E-2</v>
      </c>
      <c r="H43" s="21">
        <v>4.1399999999999999E-2</v>
      </c>
      <c r="I43" s="21">
        <v>4.1399999999999999E-2</v>
      </c>
      <c r="J43" s="21">
        <v>4.1399999999999999E-2</v>
      </c>
      <c r="K43" s="21">
        <v>4.1399999999999999E-2</v>
      </c>
      <c r="L43" s="21">
        <v>4.1399999999999999E-2</v>
      </c>
      <c r="M43" s="21">
        <v>4.1399999999999999E-2</v>
      </c>
      <c r="N43" s="21">
        <v>4.1399999999999999E-2</v>
      </c>
      <c r="O43" s="21">
        <v>4.1399999999999999E-2</v>
      </c>
      <c r="P43" s="21">
        <v>1.0414000000000001</v>
      </c>
      <c r="Q43" s="21">
        <v>2.0413999999999999</v>
      </c>
      <c r="R43" s="21">
        <v>3.0413999999999999</v>
      </c>
      <c r="S43" s="21">
        <v>4.0414000000000003</v>
      </c>
      <c r="T43" s="21">
        <v>5.0414000000000003</v>
      </c>
      <c r="U43" s="21">
        <v>6.0414000000000003</v>
      </c>
      <c r="V43" s="21">
        <v>7.0414000000000003</v>
      </c>
      <c r="W43" s="21">
        <v>8.0413999999999994</v>
      </c>
      <c r="X43" s="21">
        <v>9.0413999999999994</v>
      </c>
    </row>
    <row r="44" spans="2:24" outlineLevel="1" x14ac:dyDescent="0.2"/>
    <row r="45" spans="2:24" outlineLevel="1" x14ac:dyDescent="0.2">
      <c r="B45" s="8" t="s">
        <v>15</v>
      </c>
      <c r="D45" s="14"/>
      <c r="E45" s="19">
        <f>+E38-E42</f>
        <v>56824.6</v>
      </c>
      <c r="F45" s="19">
        <f t="shared" ref="F45:O45" si="41">+F38-F42</f>
        <v>59716.358439999996</v>
      </c>
      <c r="G45" s="19">
        <f t="shared" si="41"/>
        <v>62754.796679416002</v>
      </c>
      <c r="H45" s="19">
        <f t="shared" si="41"/>
        <v>65947.335311943825</v>
      </c>
      <c r="I45" s="19">
        <f t="shared" si="41"/>
        <v>0</v>
      </c>
      <c r="J45" s="19">
        <f t="shared" si="41"/>
        <v>0</v>
      </c>
      <c r="K45" s="19">
        <f t="shared" si="41"/>
        <v>0</v>
      </c>
      <c r="L45" s="19">
        <f t="shared" si="41"/>
        <v>0</v>
      </c>
      <c r="M45" s="19">
        <f t="shared" si="41"/>
        <v>0</v>
      </c>
      <c r="N45" s="19">
        <f t="shared" si="41"/>
        <v>0</v>
      </c>
      <c r="O45" s="19">
        <f t="shared" si="41"/>
        <v>0</v>
      </c>
      <c r="P45" s="19">
        <f t="shared" ref="P45:X45" si="42">+P38-P42</f>
        <v>0</v>
      </c>
      <c r="Q45" s="19">
        <f t="shared" si="42"/>
        <v>0</v>
      </c>
      <c r="R45" s="19">
        <f t="shared" si="42"/>
        <v>0</v>
      </c>
      <c r="S45" s="19">
        <f t="shared" si="42"/>
        <v>0</v>
      </c>
      <c r="T45" s="19">
        <f t="shared" si="42"/>
        <v>0</v>
      </c>
      <c r="U45" s="19">
        <f t="shared" si="42"/>
        <v>0</v>
      </c>
      <c r="V45" s="19">
        <f t="shared" si="42"/>
        <v>0</v>
      </c>
      <c r="W45" s="19">
        <f t="shared" si="42"/>
        <v>0</v>
      </c>
      <c r="X45" s="19">
        <f t="shared" si="42"/>
        <v>0</v>
      </c>
    </row>
    <row r="46" spans="2:24" outlineLevel="1" x14ac:dyDescent="0.2">
      <c r="B46" s="17" t="s">
        <v>16</v>
      </c>
      <c r="D46" s="14"/>
      <c r="E46" s="22">
        <f>IFERROR(E45/E38,"")</f>
        <v>0.90629346092503982</v>
      </c>
      <c r="F46" s="22">
        <f t="shared" ref="F46:O46" si="43">IFERROR(F45/F38,"")</f>
        <v>0.9070609621022252</v>
      </c>
      <c r="G46" s="22">
        <f t="shared" si="43"/>
        <v>0.9078221770792928</v>
      </c>
      <c r="H46" s="22">
        <f t="shared" si="43"/>
        <v>0.90857715734321465</v>
      </c>
      <c r="I46" s="22" t="str">
        <f t="shared" si="43"/>
        <v/>
      </c>
      <c r="J46" s="22" t="str">
        <f t="shared" si="43"/>
        <v/>
      </c>
      <c r="K46" s="22" t="str">
        <f t="shared" si="43"/>
        <v/>
      </c>
      <c r="L46" s="22" t="str">
        <f t="shared" si="43"/>
        <v/>
      </c>
      <c r="M46" s="22" t="str">
        <f t="shared" si="43"/>
        <v/>
      </c>
      <c r="N46" s="22" t="str">
        <f t="shared" si="43"/>
        <v/>
      </c>
      <c r="O46" s="22" t="str">
        <f t="shared" si="43"/>
        <v/>
      </c>
      <c r="P46" s="22" t="str">
        <f t="shared" ref="P46:X46" si="44">IFERROR(P45/P38,"")</f>
        <v/>
      </c>
      <c r="Q46" s="22" t="str">
        <f t="shared" si="44"/>
        <v/>
      </c>
      <c r="R46" s="22" t="str">
        <f t="shared" si="44"/>
        <v/>
      </c>
      <c r="S46" s="22" t="str">
        <f t="shared" si="44"/>
        <v/>
      </c>
      <c r="T46" s="22" t="str">
        <f t="shared" si="44"/>
        <v/>
      </c>
      <c r="U46" s="22" t="str">
        <f t="shared" si="44"/>
        <v/>
      </c>
      <c r="V46" s="22" t="str">
        <f t="shared" si="44"/>
        <v/>
      </c>
      <c r="W46" s="22" t="str">
        <f t="shared" si="44"/>
        <v/>
      </c>
      <c r="X46" s="22" t="str">
        <f t="shared" si="44"/>
        <v/>
      </c>
    </row>
    <row r="48" spans="2:24" ht="15" x14ac:dyDescent="0.25">
      <c r="B48" s="13" t="s">
        <v>17</v>
      </c>
    </row>
    <row r="50" spans="2:24" outlineLevel="1" x14ac:dyDescent="0.2">
      <c r="B50" s="8" t="s">
        <v>18</v>
      </c>
    </row>
    <row r="51" spans="2:24" outlineLevel="1" x14ac:dyDescent="0.2">
      <c r="B51" s="17" t="s">
        <v>19</v>
      </c>
      <c r="D51" s="14"/>
      <c r="E51" s="23">
        <v>0</v>
      </c>
      <c r="F51" s="23">
        <v>0</v>
      </c>
      <c r="G51" s="23">
        <v>0</v>
      </c>
      <c r="H51" s="23">
        <v>0</v>
      </c>
      <c r="I51" s="23">
        <v>0</v>
      </c>
      <c r="J51" s="23">
        <v>0</v>
      </c>
      <c r="K51" s="23">
        <v>0</v>
      </c>
      <c r="L51" s="23">
        <v>0</v>
      </c>
      <c r="M51" s="23">
        <v>0</v>
      </c>
      <c r="N51" s="23">
        <v>0</v>
      </c>
      <c r="O51" s="23">
        <v>0</v>
      </c>
      <c r="P51" s="23">
        <v>0</v>
      </c>
      <c r="Q51" s="23">
        <v>0</v>
      </c>
      <c r="R51" s="23">
        <v>0</v>
      </c>
      <c r="S51" s="23">
        <v>0</v>
      </c>
      <c r="T51" s="23">
        <v>0</v>
      </c>
      <c r="U51" s="23">
        <v>0</v>
      </c>
      <c r="V51" s="23">
        <v>0</v>
      </c>
      <c r="W51" s="23">
        <v>0</v>
      </c>
      <c r="X51" s="23">
        <v>0</v>
      </c>
    </row>
    <row r="52" spans="2:24" outlineLevel="1" x14ac:dyDescent="0.2">
      <c r="B52" s="17" t="s">
        <v>20</v>
      </c>
      <c r="D52" s="14"/>
      <c r="E52" s="23">
        <v>0</v>
      </c>
      <c r="F52" s="23">
        <v>0</v>
      </c>
      <c r="G52" s="23">
        <v>0</v>
      </c>
      <c r="H52" s="23">
        <v>0</v>
      </c>
      <c r="I52" s="23">
        <v>0</v>
      </c>
      <c r="J52" s="23">
        <v>0</v>
      </c>
      <c r="K52" s="23">
        <v>0</v>
      </c>
      <c r="L52" s="23">
        <v>0</v>
      </c>
      <c r="M52" s="23">
        <v>0</v>
      </c>
      <c r="N52" s="23">
        <v>0</v>
      </c>
      <c r="O52" s="23">
        <v>0</v>
      </c>
      <c r="P52" s="23">
        <v>0</v>
      </c>
      <c r="Q52" s="23">
        <v>0</v>
      </c>
      <c r="R52" s="23">
        <v>0</v>
      </c>
      <c r="S52" s="23">
        <v>0</v>
      </c>
      <c r="T52" s="23">
        <v>0</v>
      </c>
      <c r="U52" s="23">
        <v>0</v>
      </c>
      <c r="V52" s="23">
        <v>0</v>
      </c>
      <c r="W52" s="23">
        <v>0</v>
      </c>
      <c r="X52" s="23">
        <v>0</v>
      </c>
    </row>
    <row r="53" spans="2:24" outlineLevel="1" x14ac:dyDescent="0.2">
      <c r="B53" s="17" t="s">
        <v>21</v>
      </c>
      <c r="D53" s="14"/>
      <c r="E53" s="23">
        <v>0</v>
      </c>
      <c r="F53" s="23">
        <v>0</v>
      </c>
      <c r="G53" s="23">
        <v>0</v>
      </c>
      <c r="H53" s="23">
        <v>0</v>
      </c>
      <c r="I53" s="23">
        <v>0</v>
      </c>
      <c r="J53" s="23">
        <v>0</v>
      </c>
      <c r="K53" s="23">
        <v>0</v>
      </c>
      <c r="L53" s="23">
        <v>0</v>
      </c>
      <c r="M53" s="23">
        <v>0</v>
      </c>
      <c r="N53" s="23">
        <v>0</v>
      </c>
      <c r="O53" s="23">
        <v>0</v>
      </c>
      <c r="P53" s="23">
        <v>0</v>
      </c>
      <c r="Q53" s="23">
        <v>0</v>
      </c>
      <c r="R53" s="23">
        <v>0</v>
      </c>
      <c r="S53" s="23">
        <v>0</v>
      </c>
      <c r="T53" s="23">
        <v>0</v>
      </c>
      <c r="U53" s="23">
        <v>0</v>
      </c>
      <c r="V53" s="23">
        <v>0</v>
      </c>
      <c r="W53" s="23">
        <v>0</v>
      </c>
      <c r="X53" s="23">
        <v>0</v>
      </c>
    </row>
    <row r="54" spans="2:24" outlineLevel="1" x14ac:dyDescent="0.2"/>
    <row r="55" spans="2:24" outlineLevel="1" x14ac:dyDescent="0.2">
      <c r="B55" s="8" t="s">
        <v>22</v>
      </c>
    </row>
    <row r="56" spans="2:24" outlineLevel="1" x14ac:dyDescent="0.2">
      <c r="B56" s="17" t="s">
        <v>19</v>
      </c>
      <c r="D56" s="14"/>
      <c r="E56" s="24">
        <v>0</v>
      </c>
      <c r="F56" s="24">
        <v>0</v>
      </c>
      <c r="G56" s="24">
        <v>0</v>
      </c>
      <c r="H56" s="24">
        <v>0</v>
      </c>
      <c r="I56" s="24">
        <v>0</v>
      </c>
      <c r="J56" s="24">
        <v>0</v>
      </c>
      <c r="K56" s="24">
        <v>0</v>
      </c>
      <c r="L56" s="24">
        <v>0</v>
      </c>
      <c r="M56" s="24">
        <v>0</v>
      </c>
      <c r="N56" s="24">
        <v>0</v>
      </c>
      <c r="O56" s="24">
        <v>0</v>
      </c>
      <c r="P56" s="24">
        <v>0</v>
      </c>
      <c r="Q56" s="24">
        <v>0</v>
      </c>
      <c r="R56" s="24">
        <v>0</v>
      </c>
      <c r="S56" s="24">
        <v>0</v>
      </c>
      <c r="T56" s="24">
        <v>0</v>
      </c>
      <c r="U56" s="24">
        <v>0</v>
      </c>
      <c r="V56" s="24">
        <v>0</v>
      </c>
      <c r="W56" s="24">
        <v>0</v>
      </c>
      <c r="X56" s="24">
        <v>0</v>
      </c>
    </row>
    <row r="57" spans="2:24" outlineLevel="1" x14ac:dyDescent="0.2">
      <c r="B57" s="17" t="s">
        <v>20</v>
      </c>
      <c r="D57" s="14"/>
      <c r="E57" s="24">
        <v>0</v>
      </c>
      <c r="F57" s="24">
        <v>0</v>
      </c>
      <c r="G57" s="24">
        <v>0</v>
      </c>
      <c r="H57" s="24">
        <v>0</v>
      </c>
      <c r="I57" s="24">
        <v>0</v>
      </c>
      <c r="J57" s="24">
        <v>0</v>
      </c>
      <c r="K57" s="24">
        <v>0</v>
      </c>
      <c r="L57" s="24">
        <v>0</v>
      </c>
      <c r="M57" s="24">
        <v>0</v>
      </c>
      <c r="N57" s="24">
        <v>0</v>
      </c>
      <c r="O57" s="24">
        <v>0</v>
      </c>
      <c r="P57" s="24">
        <v>0</v>
      </c>
      <c r="Q57" s="24">
        <v>0</v>
      </c>
      <c r="R57" s="24">
        <v>0</v>
      </c>
      <c r="S57" s="24">
        <v>0</v>
      </c>
      <c r="T57" s="24">
        <v>0</v>
      </c>
      <c r="U57" s="24">
        <v>0</v>
      </c>
      <c r="V57" s="24">
        <v>0</v>
      </c>
      <c r="W57" s="24">
        <v>0</v>
      </c>
      <c r="X57" s="24">
        <v>0</v>
      </c>
    </row>
    <row r="58" spans="2:24" outlineLevel="1" x14ac:dyDescent="0.2">
      <c r="B58" s="17" t="s">
        <v>21</v>
      </c>
      <c r="D58" s="14"/>
      <c r="E58" s="24">
        <v>0</v>
      </c>
      <c r="F58" s="24">
        <v>0</v>
      </c>
      <c r="G58" s="24">
        <v>0</v>
      </c>
      <c r="H58" s="24">
        <v>0</v>
      </c>
      <c r="I58" s="24">
        <v>0</v>
      </c>
      <c r="J58" s="24">
        <v>0</v>
      </c>
      <c r="K58" s="24">
        <v>0</v>
      </c>
      <c r="L58" s="24">
        <v>0</v>
      </c>
      <c r="M58" s="24">
        <v>0</v>
      </c>
      <c r="N58" s="24">
        <v>0</v>
      </c>
      <c r="O58" s="24">
        <v>0</v>
      </c>
      <c r="P58" s="24">
        <v>0</v>
      </c>
      <c r="Q58" s="24">
        <v>0</v>
      </c>
      <c r="R58" s="24">
        <v>0</v>
      </c>
      <c r="S58" s="24">
        <v>0</v>
      </c>
      <c r="T58" s="24">
        <v>0</v>
      </c>
      <c r="U58" s="24">
        <v>0</v>
      </c>
      <c r="V58" s="24">
        <v>0</v>
      </c>
      <c r="W58" s="24">
        <v>0</v>
      </c>
      <c r="X58" s="24">
        <v>0</v>
      </c>
    </row>
    <row r="59" spans="2:24" outlineLevel="1" x14ac:dyDescent="0.2"/>
    <row r="60" spans="2:24" outlineLevel="1" x14ac:dyDescent="0.2">
      <c r="B60" s="8" t="s">
        <v>23</v>
      </c>
    </row>
    <row r="61" spans="2:24" outlineLevel="1" x14ac:dyDescent="0.2">
      <c r="B61" s="17" t="s">
        <v>19</v>
      </c>
      <c r="D61" s="14"/>
      <c r="E61" s="25">
        <f>IFERROR(E140/1E+56,0)</f>
        <v>3.1349999999999994E-48</v>
      </c>
      <c r="F61" s="25">
        <f t="shared" ref="F61:O61" si="45">IFERROR(F140/F56,0)</f>
        <v>0</v>
      </c>
      <c r="G61" s="25">
        <f t="shared" si="45"/>
        <v>0</v>
      </c>
      <c r="H61" s="25">
        <f t="shared" si="45"/>
        <v>0</v>
      </c>
      <c r="I61" s="25">
        <f t="shared" si="45"/>
        <v>0</v>
      </c>
      <c r="J61" s="25">
        <f t="shared" si="45"/>
        <v>0</v>
      </c>
      <c r="K61" s="25">
        <f t="shared" si="45"/>
        <v>0</v>
      </c>
      <c r="L61" s="25">
        <f t="shared" si="45"/>
        <v>0</v>
      </c>
      <c r="M61" s="25">
        <f t="shared" si="45"/>
        <v>0</v>
      </c>
      <c r="N61" s="25">
        <f t="shared" si="45"/>
        <v>0</v>
      </c>
      <c r="O61" s="25">
        <f t="shared" si="45"/>
        <v>0</v>
      </c>
      <c r="P61" s="25">
        <f t="shared" ref="P61:X61" si="46">IFERROR(P140/P56,0)</f>
        <v>0</v>
      </c>
      <c r="Q61" s="25">
        <f t="shared" si="46"/>
        <v>0</v>
      </c>
      <c r="R61" s="25">
        <f t="shared" si="46"/>
        <v>0</v>
      </c>
      <c r="S61" s="25">
        <f t="shared" si="46"/>
        <v>0</v>
      </c>
      <c r="T61" s="25">
        <f t="shared" si="46"/>
        <v>0</v>
      </c>
      <c r="U61" s="25">
        <f t="shared" si="46"/>
        <v>0</v>
      </c>
      <c r="V61" s="25">
        <f t="shared" si="46"/>
        <v>0</v>
      </c>
      <c r="W61" s="25">
        <f t="shared" si="46"/>
        <v>0</v>
      </c>
      <c r="X61" s="25">
        <f t="shared" si="46"/>
        <v>0</v>
      </c>
    </row>
    <row r="62" spans="2:24" outlineLevel="1" x14ac:dyDescent="0.2">
      <c r="B62" s="17" t="s">
        <v>20</v>
      </c>
      <c r="D62" s="14"/>
      <c r="E62" s="25">
        <f t="shared" ref="E62:O62" si="47">IFERROR(-E142/E57,0)</f>
        <v>0</v>
      </c>
      <c r="F62" s="25">
        <f t="shared" si="47"/>
        <v>0</v>
      </c>
      <c r="G62" s="25">
        <f t="shared" si="47"/>
        <v>0</v>
      </c>
      <c r="H62" s="25">
        <f t="shared" si="47"/>
        <v>0</v>
      </c>
      <c r="I62" s="25">
        <f t="shared" si="47"/>
        <v>0</v>
      </c>
      <c r="J62" s="25">
        <f t="shared" si="47"/>
        <v>0</v>
      </c>
      <c r="K62" s="25">
        <f t="shared" si="47"/>
        <v>0</v>
      </c>
      <c r="L62" s="25">
        <f t="shared" si="47"/>
        <v>0</v>
      </c>
      <c r="M62" s="25">
        <f t="shared" si="47"/>
        <v>0</v>
      </c>
      <c r="N62" s="25">
        <f t="shared" si="47"/>
        <v>0</v>
      </c>
      <c r="O62" s="25">
        <f t="shared" si="47"/>
        <v>0</v>
      </c>
      <c r="P62" s="25">
        <f t="shared" ref="P62:X62" si="48">IFERROR(-P142/P57,0)</f>
        <v>0</v>
      </c>
      <c r="Q62" s="25">
        <f t="shared" si="48"/>
        <v>0</v>
      </c>
      <c r="R62" s="25">
        <f t="shared" si="48"/>
        <v>0</v>
      </c>
      <c r="S62" s="25">
        <f t="shared" si="48"/>
        <v>0</v>
      </c>
      <c r="T62" s="25">
        <f t="shared" si="48"/>
        <v>0</v>
      </c>
      <c r="U62" s="25">
        <f t="shared" si="48"/>
        <v>0</v>
      </c>
      <c r="V62" s="25">
        <f t="shared" si="48"/>
        <v>0</v>
      </c>
      <c r="W62" s="25">
        <f t="shared" si="48"/>
        <v>0</v>
      </c>
      <c r="X62" s="25">
        <f t="shared" si="48"/>
        <v>0</v>
      </c>
    </row>
    <row r="63" spans="2:24" outlineLevel="1" x14ac:dyDescent="0.2">
      <c r="B63" s="17" t="s">
        <v>21</v>
      </c>
      <c r="D63" s="14"/>
      <c r="E63" s="25">
        <f t="shared" ref="E63:O63" si="49">IFERROR(-E142/E58,0)</f>
        <v>0</v>
      </c>
      <c r="F63" s="25">
        <f t="shared" si="49"/>
        <v>0</v>
      </c>
      <c r="G63" s="25">
        <f t="shared" si="49"/>
        <v>0</v>
      </c>
      <c r="H63" s="25">
        <f t="shared" si="49"/>
        <v>0</v>
      </c>
      <c r="I63" s="25">
        <f t="shared" si="49"/>
        <v>0</v>
      </c>
      <c r="J63" s="25">
        <f t="shared" si="49"/>
        <v>0</v>
      </c>
      <c r="K63" s="25">
        <f t="shared" si="49"/>
        <v>0</v>
      </c>
      <c r="L63" s="25">
        <f t="shared" si="49"/>
        <v>0</v>
      </c>
      <c r="M63" s="25">
        <f t="shared" si="49"/>
        <v>0</v>
      </c>
      <c r="N63" s="25">
        <f t="shared" si="49"/>
        <v>0</v>
      </c>
      <c r="O63" s="25">
        <f t="shared" si="49"/>
        <v>0</v>
      </c>
      <c r="P63" s="25">
        <f t="shared" ref="P63:X63" si="50">IFERROR(-P142/P58,0)</f>
        <v>0</v>
      </c>
      <c r="Q63" s="25">
        <f t="shared" si="50"/>
        <v>0</v>
      </c>
      <c r="R63" s="25">
        <f t="shared" si="50"/>
        <v>0</v>
      </c>
      <c r="S63" s="25">
        <f t="shared" si="50"/>
        <v>0</v>
      </c>
      <c r="T63" s="25">
        <f t="shared" si="50"/>
        <v>0</v>
      </c>
      <c r="U63" s="25">
        <f t="shared" si="50"/>
        <v>0</v>
      </c>
      <c r="V63" s="25">
        <f t="shared" si="50"/>
        <v>0</v>
      </c>
      <c r="W63" s="25">
        <f t="shared" si="50"/>
        <v>0</v>
      </c>
      <c r="X63" s="25">
        <f t="shared" si="50"/>
        <v>0</v>
      </c>
    </row>
    <row r="64" spans="2:24" outlineLevel="1" x14ac:dyDescent="0.2"/>
    <row r="65" spans="1:24" outlineLevel="1" x14ac:dyDescent="0.2">
      <c r="B65" s="17" t="s">
        <v>24</v>
      </c>
      <c r="D65" s="14"/>
      <c r="E65" s="26">
        <f>+E61+E62-E63</f>
        <v>3.1349999999999994E-48</v>
      </c>
      <c r="F65" s="27">
        <f>(F61+F62-F63)-(E61+E62-E63)</f>
        <v>-3.1349999999999994E-48</v>
      </c>
      <c r="G65" s="27">
        <f t="shared" ref="G65:O65" si="51">(G61+G62-G63)-(F61+F62-F63)</f>
        <v>0</v>
      </c>
      <c r="H65" s="27">
        <f t="shared" si="51"/>
        <v>0</v>
      </c>
      <c r="I65" s="27">
        <f t="shared" si="51"/>
        <v>0</v>
      </c>
      <c r="J65" s="27">
        <f t="shared" si="51"/>
        <v>0</v>
      </c>
      <c r="K65" s="27">
        <f t="shared" si="51"/>
        <v>0</v>
      </c>
      <c r="L65" s="27">
        <f t="shared" si="51"/>
        <v>0</v>
      </c>
      <c r="M65" s="27">
        <f t="shared" si="51"/>
        <v>0</v>
      </c>
      <c r="N65" s="27">
        <f t="shared" si="51"/>
        <v>0</v>
      </c>
      <c r="O65" s="27">
        <f t="shared" si="51"/>
        <v>0</v>
      </c>
      <c r="P65" s="27">
        <f t="shared" ref="P65" si="52">(P61+P62-P63)-(O61+O62-O63)</f>
        <v>0</v>
      </c>
      <c r="Q65" s="27">
        <f t="shared" ref="Q65" si="53">(Q61+Q62-Q63)-(P61+P62-P63)</f>
        <v>0</v>
      </c>
      <c r="R65" s="27">
        <f t="shared" ref="R65" si="54">(R61+R62-R63)-(Q61+Q62-Q63)</f>
        <v>0</v>
      </c>
      <c r="S65" s="27">
        <f t="shared" ref="S65" si="55">(S61+S62-S63)-(R61+R62-R63)</f>
        <v>0</v>
      </c>
      <c r="T65" s="27">
        <f t="shared" ref="T65" si="56">(T61+T62-T63)-(S61+S62-S63)</f>
        <v>0</v>
      </c>
      <c r="U65" s="27">
        <f t="shared" ref="U65" si="57">(U61+U62-U63)-(T61+T62-T63)</f>
        <v>0</v>
      </c>
      <c r="V65" s="27">
        <f t="shared" ref="V65" si="58">(V61+V62-V63)-(U61+U62-U63)</f>
        <v>0</v>
      </c>
      <c r="W65" s="27">
        <f t="shared" ref="W65" si="59">(W61+W62-W63)-(V61+V62-V63)</f>
        <v>0</v>
      </c>
      <c r="X65" s="27">
        <f t="shared" ref="X65" si="60">(X61+X62-X63)-(W61+W62-W63)</f>
        <v>0</v>
      </c>
    </row>
    <row r="67" spans="1:24" ht="15" x14ac:dyDescent="0.25">
      <c r="B67" s="13" t="s">
        <v>25</v>
      </c>
    </row>
    <row r="68" spans="1:24" ht="15" x14ac:dyDescent="0.25">
      <c r="B68" s="28"/>
    </row>
    <row r="69" spans="1:24" outlineLevel="1" x14ac:dyDescent="0.2">
      <c r="E69" s="29"/>
      <c r="F69" s="29"/>
      <c r="G69" s="29"/>
      <c r="H69" s="29"/>
      <c r="I69" s="29"/>
      <c r="J69" s="29"/>
      <c r="K69" s="29"/>
      <c r="L69" s="29"/>
      <c r="M69" s="29"/>
      <c r="N69" s="29"/>
      <c r="O69" s="29"/>
      <c r="P69" s="29"/>
      <c r="Q69" s="29"/>
      <c r="R69" s="29"/>
      <c r="S69" s="29"/>
      <c r="T69" s="29"/>
      <c r="U69" s="29"/>
      <c r="V69" s="29"/>
      <c r="W69" s="29"/>
      <c r="X69" s="29"/>
    </row>
    <row r="70" spans="1:24" outlineLevel="1" x14ac:dyDescent="0.2">
      <c r="A70" s="11">
        <f>+VLOOKUP(C70,MATRIZ_TASA_DESCUENTO,2,0)</f>
        <v>2</v>
      </c>
      <c r="B70" s="8" t="s">
        <v>26</v>
      </c>
      <c r="C70" s="180" t="s">
        <v>27</v>
      </c>
      <c r="D70" s="181"/>
      <c r="E70" s="30">
        <f>ROUNDDOWN(IF($A$70=1,E72,E73),4)</f>
        <v>0.1216</v>
      </c>
      <c r="F70" s="30">
        <f t="shared" ref="F70:X70" si="61">ROUNDDOWN(IF($A$70=1,F72,F73),4)</f>
        <v>0.1178</v>
      </c>
      <c r="G70" s="30">
        <f t="shared" si="61"/>
        <v>0.1164</v>
      </c>
      <c r="H70" s="30">
        <f t="shared" si="61"/>
        <v>0.11559999999999999</v>
      </c>
      <c r="I70" s="30">
        <f t="shared" si="61"/>
        <v>0.1129</v>
      </c>
      <c r="J70" s="30">
        <f t="shared" si="61"/>
        <v>0.1128</v>
      </c>
      <c r="K70" s="30">
        <f t="shared" si="61"/>
        <v>0.1128</v>
      </c>
      <c r="L70" s="30">
        <f t="shared" si="61"/>
        <v>0.11269999999999999</v>
      </c>
      <c r="M70" s="30">
        <f t="shared" si="61"/>
        <v>0.11260000000000001</v>
      </c>
      <c r="N70" s="30">
        <f t="shared" si="61"/>
        <v>0.11260000000000001</v>
      </c>
      <c r="O70" s="30">
        <f t="shared" si="61"/>
        <v>0.11260000000000001</v>
      </c>
      <c r="P70" s="30">
        <f t="shared" si="61"/>
        <v>0.11260000000000001</v>
      </c>
      <c r="Q70" s="30">
        <f t="shared" si="61"/>
        <v>0.11260000000000001</v>
      </c>
      <c r="R70" s="30" t="e">
        <f t="shared" si="61"/>
        <v>#REF!</v>
      </c>
      <c r="S70" s="30" t="e">
        <f t="shared" si="61"/>
        <v>#REF!</v>
      </c>
      <c r="T70" s="30" t="e">
        <f t="shared" si="61"/>
        <v>#REF!</v>
      </c>
      <c r="U70" s="30" t="e">
        <f t="shared" si="61"/>
        <v>#REF!</v>
      </c>
      <c r="V70" s="30" t="e">
        <f t="shared" si="61"/>
        <v>#REF!</v>
      </c>
      <c r="W70" s="30" t="e">
        <f t="shared" si="61"/>
        <v>#REF!</v>
      </c>
      <c r="X70" s="30" t="e">
        <f t="shared" si="61"/>
        <v>#REF!</v>
      </c>
    </row>
    <row r="71" spans="1:24" outlineLevel="1" x14ac:dyDescent="0.2"/>
    <row r="72" spans="1:24" outlineLevel="1" x14ac:dyDescent="0.2">
      <c r="B72" s="17" t="s">
        <v>28</v>
      </c>
      <c r="D72" s="31">
        <v>0.23</v>
      </c>
      <c r="E72" s="32">
        <f>+D72</f>
        <v>0.23</v>
      </c>
      <c r="F72" s="32">
        <f t="shared" ref="F72:X72" si="62">+E72</f>
        <v>0.23</v>
      </c>
      <c r="G72" s="32">
        <f t="shared" si="62"/>
        <v>0.23</v>
      </c>
      <c r="H72" s="32">
        <f t="shared" si="62"/>
        <v>0.23</v>
      </c>
      <c r="I72" s="32">
        <f t="shared" si="62"/>
        <v>0.23</v>
      </c>
      <c r="J72" s="32">
        <f t="shared" si="62"/>
        <v>0.23</v>
      </c>
      <c r="K72" s="32">
        <f t="shared" si="62"/>
        <v>0.23</v>
      </c>
      <c r="L72" s="32">
        <f t="shared" si="62"/>
        <v>0.23</v>
      </c>
      <c r="M72" s="32">
        <f t="shared" si="62"/>
        <v>0.23</v>
      </c>
      <c r="N72" s="32">
        <f t="shared" si="62"/>
        <v>0.23</v>
      </c>
      <c r="O72" s="32">
        <f t="shared" si="62"/>
        <v>0.23</v>
      </c>
      <c r="P72" s="32">
        <f t="shared" si="62"/>
        <v>0.23</v>
      </c>
      <c r="Q72" s="32">
        <f t="shared" si="62"/>
        <v>0.23</v>
      </c>
      <c r="R72" s="32">
        <f t="shared" si="62"/>
        <v>0.23</v>
      </c>
      <c r="S72" s="32">
        <f t="shared" si="62"/>
        <v>0.23</v>
      </c>
      <c r="T72" s="32">
        <f t="shared" si="62"/>
        <v>0.23</v>
      </c>
      <c r="U72" s="32">
        <f t="shared" si="62"/>
        <v>0.23</v>
      </c>
      <c r="V72" s="32">
        <f t="shared" si="62"/>
        <v>0.23</v>
      </c>
      <c r="W72" s="32">
        <f t="shared" si="62"/>
        <v>0.23</v>
      </c>
      <c r="X72" s="32">
        <f t="shared" si="62"/>
        <v>0.23</v>
      </c>
    </row>
    <row r="73" spans="1:24" outlineLevel="1" x14ac:dyDescent="0.2">
      <c r="B73" s="17" t="s">
        <v>27</v>
      </c>
      <c r="D73" s="14"/>
      <c r="E73" s="32">
        <f>+E75+(E76-E75)*E79</f>
        <v>0.12160510682574562</v>
      </c>
      <c r="F73" s="32">
        <f t="shared" ref="F73:X73" si="63">+F75+(F76-F75)*F79</f>
        <v>0.11786370175380406</v>
      </c>
      <c r="G73" s="32">
        <f t="shared" si="63"/>
        <v>0.11643765681319038</v>
      </c>
      <c r="H73" s="32">
        <f t="shared" si="63"/>
        <v>0.11566139703954341</v>
      </c>
      <c r="I73" s="32">
        <f t="shared" si="63"/>
        <v>0.11295059831803216</v>
      </c>
      <c r="J73" s="32">
        <f t="shared" si="63"/>
        <v>0.11289810775039788</v>
      </c>
      <c r="K73" s="32">
        <f t="shared" si="63"/>
        <v>0.11283818350584308</v>
      </c>
      <c r="L73" s="32">
        <f t="shared" si="63"/>
        <v>0.11276957542459984</v>
      </c>
      <c r="M73" s="32">
        <f t="shared" si="63"/>
        <v>0.11269078439349015</v>
      </c>
      <c r="N73" s="32">
        <f t="shared" si="63"/>
        <v>0.11260000000000001</v>
      </c>
      <c r="O73" s="32">
        <f t="shared" si="63"/>
        <v>0.11260000000000001</v>
      </c>
      <c r="P73" s="32">
        <f t="shared" si="63"/>
        <v>0.11260000000000001</v>
      </c>
      <c r="Q73" s="32">
        <f t="shared" si="63"/>
        <v>0.11260000000000001</v>
      </c>
      <c r="R73" s="32" t="e">
        <f t="shared" si="63"/>
        <v>#REF!</v>
      </c>
      <c r="S73" s="32" t="e">
        <f t="shared" si="63"/>
        <v>#REF!</v>
      </c>
      <c r="T73" s="32" t="e">
        <f t="shared" si="63"/>
        <v>#REF!</v>
      </c>
      <c r="U73" s="32" t="e">
        <f t="shared" si="63"/>
        <v>#REF!</v>
      </c>
      <c r="V73" s="32" t="e">
        <f t="shared" si="63"/>
        <v>#REF!</v>
      </c>
      <c r="W73" s="32" t="e">
        <f t="shared" si="63"/>
        <v>#REF!</v>
      </c>
      <c r="X73" s="32" t="e">
        <f t="shared" si="63"/>
        <v>#REF!</v>
      </c>
    </row>
    <row r="74" spans="1:24" outlineLevel="1" x14ac:dyDescent="0.2"/>
    <row r="75" spans="1:24" outlineLevel="1" x14ac:dyDescent="0.2">
      <c r="B75" s="8" t="s">
        <v>29</v>
      </c>
      <c r="D75" s="31">
        <v>0.1</v>
      </c>
      <c r="E75" s="32">
        <f>+D75</f>
        <v>0.1</v>
      </c>
      <c r="F75" s="32">
        <f t="shared" ref="F75:X77" si="64">+E75</f>
        <v>0.1</v>
      </c>
      <c r="G75" s="32">
        <f t="shared" si="64"/>
        <v>0.1</v>
      </c>
      <c r="H75" s="32">
        <f t="shared" si="64"/>
        <v>0.1</v>
      </c>
      <c r="I75" s="32">
        <f t="shared" si="64"/>
        <v>0.1</v>
      </c>
      <c r="J75" s="32">
        <f t="shared" si="64"/>
        <v>0.1</v>
      </c>
      <c r="K75" s="32">
        <f t="shared" si="64"/>
        <v>0.1</v>
      </c>
      <c r="L75" s="32">
        <f t="shared" si="64"/>
        <v>0.1</v>
      </c>
      <c r="M75" s="32">
        <f t="shared" si="64"/>
        <v>0.1</v>
      </c>
      <c r="N75" s="32">
        <f t="shared" si="64"/>
        <v>0.1</v>
      </c>
      <c r="O75" s="32">
        <f t="shared" si="64"/>
        <v>0.1</v>
      </c>
      <c r="P75" s="32">
        <f t="shared" si="64"/>
        <v>0.1</v>
      </c>
      <c r="Q75" s="32">
        <f t="shared" si="64"/>
        <v>0.1</v>
      </c>
      <c r="R75" s="32">
        <f t="shared" si="64"/>
        <v>0.1</v>
      </c>
      <c r="S75" s="32">
        <f t="shared" si="64"/>
        <v>0.1</v>
      </c>
      <c r="T75" s="32">
        <f t="shared" si="64"/>
        <v>0.1</v>
      </c>
      <c r="U75" s="32">
        <f t="shared" si="64"/>
        <v>0.1</v>
      </c>
      <c r="V75" s="32">
        <f t="shared" si="64"/>
        <v>0.1</v>
      </c>
      <c r="W75" s="32">
        <f t="shared" si="64"/>
        <v>0.1</v>
      </c>
      <c r="X75" s="32">
        <f t="shared" si="64"/>
        <v>0.1</v>
      </c>
    </row>
    <row r="76" spans="1:24" outlineLevel="1" x14ac:dyDescent="0.2">
      <c r="B76" s="8" t="s">
        <v>30</v>
      </c>
      <c r="D76" s="31">
        <v>0.12</v>
      </c>
      <c r="E76" s="32">
        <f>+D76</f>
        <v>0.12</v>
      </c>
      <c r="F76" s="32">
        <f t="shared" si="64"/>
        <v>0.12</v>
      </c>
      <c r="G76" s="32">
        <f t="shared" si="64"/>
        <v>0.12</v>
      </c>
      <c r="H76" s="32">
        <f t="shared" si="64"/>
        <v>0.12</v>
      </c>
      <c r="I76" s="32">
        <f t="shared" si="64"/>
        <v>0.12</v>
      </c>
      <c r="J76" s="32">
        <f t="shared" si="64"/>
        <v>0.12</v>
      </c>
      <c r="K76" s="32">
        <f t="shared" si="64"/>
        <v>0.12</v>
      </c>
      <c r="L76" s="32">
        <f t="shared" si="64"/>
        <v>0.12</v>
      </c>
      <c r="M76" s="32">
        <f t="shared" si="64"/>
        <v>0.12</v>
      </c>
      <c r="N76" s="32">
        <f t="shared" si="64"/>
        <v>0.12</v>
      </c>
      <c r="O76" s="32">
        <f t="shared" si="64"/>
        <v>0.12</v>
      </c>
      <c r="P76" s="32">
        <f t="shared" si="64"/>
        <v>0.12</v>
      </c>
      <c r="Q76" s="32">
        <f t="shared" si="64"/>
        <v>0.12</v>
      </c>
      <c r="R76" s="32">
        <f t="shared" si="64"/>
        <v>0.12</v>
      </c>
      <c r="S76" s="32">
        <f t="shared" si="64"/>
        <v>0.12</v>
      </c>
      <c r="T76" s="32">
        <f t="shared" si="64"/>
        <v>0.12</v>
      </c>
      <c r="U76" s="32">
        <f t="shared" si="64"/>
        <v>0.12</v>
      </c>
      <c r="V76" s="32">
        <f t="shared" si="64"/>
        <v>0.12</v>
      </c>
      <c r="W76" s="32">
        <f t="shared" si="64"/>
        <v>0.12</v>
      </c>
      <c r="X76" s="32">
        <f t="shared" si="64"/>
        <v>0.12</v>
      </c>
    </row>
    <row r="77" spans="1:24" outlineLevel="1" x14ac:dyDescent="0.2">
      <c r="B77" s="8" t="s">
        <v>31</v>
      </c>
      <c r="D77" s="33">
        <v>0.63</v>
      </c>
      <c r="E77">
        <f>+D77</f>
        <v>0.63</v>
      </c>
      <c r="F77">
        <f t="shared" si="64"/>
        <v>0.63</v>
      </c>
      <c r="G77">
        <f t="shared" si="64"/>
        <v>0.63</v>
      </c>
      <c r="H77">
        <f t="shared" si="64"/>
        <v>0.63</v>
      </c>
      <c r="I77">
        <f t="shared" si="64"/>
        <v>0.63</v>
      </c>
      <c r="J77">
        <f t="shared" si="64"/>
        <v>0.63</v>
      </c>
      <c r="K77">
        <f t="shared" si="64"/>
        <v>0.63</v>
      </c>
      <c r="L77">
        <f t="shared" si="64"/>
        <v>0.63</v>
      </c>
      <c r="M77">
        <f t="shared" si="64"/>
        <v>0.63</v>
      </c>
      <c r="N77">
        <f t="shared" si="64"/>
        <v>0.63</v>
      </c>
      <c r="O77">
        <f t="shared" si="64"/>
        <v>0.63</v>
      </c>
      <c r="P77">
        <f t="shared" si="64"/>
        <v>0.63</v>
      </c>
      <c r="Q77">
        <f t="shared" si="64"/>
        <v>0.63</v>
      </c>
      <c r="R77">
        <f t="shared" si="64"/>
        <v>0.63</v>
      </c>
      <c r="S77">
        <f t="shared" si="64"/>
        <v>0.63</v>
      </c>
      <c r="T77">
        <f t="shared" si="64"/>
        <v>0.63</v>
      </c>
      <c r="U77">
        <f t="shared" si="64"/>
        <v>0.63</v>
      </c>
      <c r="V77">
        <f t="shared" si="64"/>
        <v>0.63</v>
      </c>
      <c r="W77">
        <f t="shared" si="64"/>
        <v>0.63</v>
      </c>
      <c r="X77">
        <f t="shared" si="64"/>
        <v>0.63</v>
      </c>
    </row>
    <row r="78" spans="1:24" outlineLevel="1" x14ac:dyDescent="0.2">
      <c r="B78" s="8" t="s">
        <v>32</v>
      </c>
      <c r="D78" s="33"/>
      <c r="E78" s="34">
        <f>+E255/E269</f>
        <v>1.0828651786610892</v>
      </c>
      <c r="F78" s="34">
        <f t="shared" ref="F78:X78" si="65">+F255/F269</f>
        <v>0.63296076885570796</v>
      </c>
      <c r="G78" s="34">
        <f t="shared" si="65"/>
        <v>0.46147869326483648</v>
      </c>
      <c r="H78" s="34">
        <f t="shared" si="65"/>
        <v>0.36813336213845715</v>
      </c>
      <c r="I78" s="34">
        <f t="shared" si="65"/>
        <v>4.2159489902857263E-2</v>
      </c>
      <c r="J78" s="34">
        <f t="shared" si="65"/>
        <v>3.5847492832838827E-2</v>
      </c>
      <c r="K78" s="34">
        <f t="shared" si="65"/>
        <v>2.8641595219225682E-2</v>
      </c>
      <c r="L78" s="34">
        <f t="shared" si="65"/>
        <v>2.0391465199595882E-2</v>
      </c>
      <c r="M78" s="34">
        <f t="shared" si="65"/>
        <v>1.0916834234024737E-2</v>
      </c>
      <c r="N78" s="34">
        <f t="shared" si="65"/>
        <v>-5.6958661735043512E-18</v>
      </c>
      <c r="O78" s="34">
        <f t="shared" si="65"/>
        <v>0</v>
      </c>
      <c r="P78" s="34">
        <f t="shared" si="65"/>
        <v>0</v>
      </c>
      <c r="Q78" s="34">
        <f t="shared" si="65"/>
        <v>0</v>
      </c>
      <c r="R78" s="34" t="e">
        <f t="shared" si="65"/>
        <v>#REF!</v>
      </c>
      <c r="S78" s="34" t="e">
        <f t="shared" si="65"/>
        <v>#REF!</v>
      </c>
      <c r="T78" s="34" t="e">
        <f t="shared" si="65"/>
        <v>#REF!</v>
      </c>
      <c r="U78" s="34" t="e">
        <f t="shared" si="65"/>
        <v>#REF!</v>
      </c>
      <c r="V78" s="34" t="e">
        <f t="shared" si="65"/>
        <v>#REF!</v>
      </c>
      <c r="W78" s="34" t="e">
        <f t="shared" si="65"/>
        <v>#REF!</v>
      </c>
      <c r="X78" s="34" t="e">
        <f t="shared" si="65"/>
        <v>#REF!</v>
      </c>
    </row>
    <row r="79" spans="1:24" outlineLevel="1" x14ac:dyDescent="0.2">
      <c r="B79" s="8" t="s">
        <v>33</v>
      </c>
      <c r="D79" s="14"/>
      <c r="E79" s="35">
        <f>+E77*(1+(1-E28)*E78)</f>
        <v>1.0802553412872808</v>
      </c>
      <c r="F79" s="35">
        <f t="shared" ref="F79:X79" si="66">+F77*(1+(1-F28)*F78)</f>
        <v>0.89318508769020333</v>
      </c>
      <c r="G79" s="35">
        <f t="shared" si="66"/>
        <v>0.821882840659519</v>
      </c>
      <c r="H79" s="35">
        <f t="shared" si="66"/>
        <v>0.78306985197717049</v>
      </c>
      <c r="I79" s="35">
        <f t="shared" si="66"/>
        <v>0.64752991590160802</v>
      </c>
      <c r="J79" s="35">
        <f t="shared" si="66"/>
        <v>0.64490538751989435</v>
      </c>
      <c r="K79" s="35">
        <f t="shared" si="66"/>
        <v>0.64190917529215408</v>
      </c>
      <c r="L79" s="35">
        <f t="shared" si="66"/>
        <v>0.63847877122999197</v>
      </c>
      <c r="M79" s="35">
        <f t="shared" si="66"/>
        <v>0.63453921967450755</v>
      </c>
      <c r="N79" s="35">
        <f t="shared" si="66"/>
        <v>0.63</v>
      </c>
      <c r="O79" s="35">
        <f t="shared" si="66"/>
        <v>0.63</v>
      </c>
      <c r="P79" s="35">
        <f t="shared" si="66"/>
        <v>0.63</v>
      </c>
      <c r="Q79" s="35">
        <f t="shared" si="66"/>
        <v>0.63</v>
      </c>
      <c r="R79" s="35" t="e">
        <f t="shared" si="66"/>
        <v>#REF!</v>
      </c>
      <c r="S79" s="35" t="e">
        <f t="shared" si="66"/>
        <v>#REF!</v>
      </c>
      <c r="T79" s="35" t="e">
        <f t="shared" si="66"/>
        <v>#REF!</v>
      </c>
      <c r="U79" s="35" t="e">
        <f t="shared" si="66"/>
        <v>#REF!</v>
      </c>
      <c r="V79" s="35" t="e">
        <f t="shared" si="66"/>
        <v>#REF!</v>
      </c>
      <c r="W79" s="35" t="e">
        <f t="shared" si="66"/>
        <v>#REF!</v>
      </c>
      <c r="X79" s="35" t="e">
        <f t="shared" si="66"/>
        <v>#REF!</v>
      </c>
    </row>
    <row r="80" spans="1:24" outlineLevel="1" x14ac:dyDescent="0.2">
      <c r="E80" s="29"/>
      <c r="F80" s="29"/>
      <c r="G80" s="29"/>
      <c r="H80" s="29"/>
      <c r="I80" s="29"/>
      <c r="J80" s="29"/>
      <c r="K80" s="29"/>
      <c r="L80" s="29"/>
      <c r="M80" s="29"/>
      <c r="N80" s="29"/>
      <c r="O80" s="29"/>
      <c r="P80" s="29"/>
      <c r="Q80" s="29"/>
      <c r="R80" s="29"/>
      <c r="S80" s="29"/>
      <c r="T80" s="29"/>
      <c r="U80" s="29"/>
      <c r="V80" s="29"/>
      <c r="W80" s="29"/>
      <c r="X80" s="29"/>
    </row>
    <row r="81" spans="1:24" outlineLevel="1" x14ac:dyDescent="0.2">
      <c r="B81" s="8" t="s">
        <v>34</v>
      </c>
      <c r="C81" s="36"/>
    </row>
    <row r="82" spans="1:24" outlineLevel="1" x14ac:dyDescent="0.2">
      <c r="B82" s="17" t="s">
        <v>35</v>
      </c>
      <c r="D82" s="31">
        <v>0.6</v>
      </c>
    </row>
    <row r="83" spans="1:24" outlineLevel="1" x14ac:dyDescent="0.2">
      <c r="B83" s="17" t="s">
        <v>36</v>
      </c>
      <c r="C83" s="32"/>
      <c r="D83" s="32">
        <f>1-D82</f>
        <v>0.4</v>
      </c>
    </row>
    <row r="84" spans="1:24" outlineLevel="1" x14ac:dyDescent="0.2"/>
    <row r="85" spans="1:24" outlineLevel="1" x14ac:dyDescent="0.2"/>
    <row r="86" spans="1:24" outlineLevel="1" x14ac:dyDescent="0.2">
      <c r="B86" s="8" t="s">
        <v>37</v>
      </c>
      <c r="D86" s="14"/>
      <c r="E86" s="31">
        <v>0.6</v>
      </c>
      <c r="F86" s="31">
        <v>0.6</v>
      </c>
      <c r="G86" s="31">
        <v>0.6</v>
      </c>
      <c r="H86" s="31">
        <v>0.6</v>
      </c>
      <c r="I86" s="31">
        <v>0.6</v>
      </c>
      <c r="J86" s="31">
        <v>0.6</v>
      </c>
      <c r="K86" s="31">
        <v>0.6</v>
      </c>
      <c r="L86" s="31">
        <v>0.7</v>
      </c>
      <c r="M86" s="31">
        <v>0.7</v>
      </c>
      <c r="N86" s="31">
        <v>0.7</v>
      </c>
      <c r="O86" s="31">
        <v>0.7</v>
      </c>
      <c r="P86" s="31">
        <v>0.7</v>
      </c>
      <c r="Q86" s="31">
        <v>0.7</v>
      </c>
      <c r="R86" s="31">
        <v>0.7</v>
      </c>
      <c r="S86" s="31">
        <v>0.7</v>
      </c>
      <c r="T86" s="31">
        <v>0.7</v>
      </c>
      <c r="U86" s="31">
        <v>0.7</v>
      </c>
      <c r="V86" s="31">
        <v>0.7</v>
      </c>
      <c r="W86" s="31">
        <v>0.7</v>
      </c>
      <c r="X86" s="31">
        <v>0.7</v>
      </c>
    </row>
    <row r="87" spans="1:24" outlineLevel="1" x14ac:dyDescent="0.2"/>
    <row r="88" spans="1:24" outlineLevel="1" x14ac:dyDescent="0.2">
      <c r="B88" s="8" t="s">
        <v>38</v>
      </c>
    </row>
    <row r="89" spans="1:24" outlineLevel="1" x14ac:dyDescent="0.2">
      <c r="B89" s="17" t="s">
        <v>39</v>
      </c>
      <c r="D89" s="31">
        <v>0.14000000000000001</v>
      </c>
    </row>
    <row r="90" spans="1:24" outlineLevel="1" x14ac:dyDescent="0.2">
      <c r="B90" s="17"/>
      <c r="D90" s="33"/>
    </row>
    <row r="91" spans="1:24" outlineLevel="1" x14ac:dyDescent="0.2">
      <c r="A91" s="37">
        <f>+VLOOKUP(C91,MATRIZ_LISTA_AMORTIZACION,2,0)</f>
        <v>2</v>
      </c>
      <c r="B91" s="38" t="s">
        <v>40</v>
      </c>
      <c r="C91" s="182" t="s">
        <v>41</v>
      </c>
      <c r="D91" s="182"/>
      <c r="F91" s="39" t="s">
        <v>42</v>
      </c>
    </row>
    <row r="92" spans="1:24" outlineLevel="1" x14ac:dyDescent="0.2">
      <c r="B92" s="17"/>
      <c r="D92" s="31"/>
    </row>
    <row r="94" spans="1:24" ht="15" x14ac:dyDescent="0.25">
      <c r="B94" s="13" t="s">
        <v>43</v>
      </c>
    </row>
    <row r="96" spans="1:24" outlineLevel="1" x14ac:dyDescent="0.2"/>
    <row r="97" spans="2:24" outlineLevel="1" x14ac:dyDescent="0.2">
      <c r="B97" s="17" t="s">
        <v>44</v>
      </c>
      <c r="D97" s="14"/>
      <c r="E97" s="40">
        <v>133767840</v>
      </c>
      <c r="F97" s="25">
        <f t="shared" ref="F97:J103" si="67">+E97*(1+F$25)*F$2</f>
        <v>139118553.59999999</v>
      </c>
      <c r="G97" s="25">
        <f t="shared" si="67"/>
        <v>144683295.74399999</v>
      </c>
      <c r="H97" s="25">
        <f t="shared" si="67"/>
        <v>150470627.57376</v>
      </c>
      <c r="I97" s="25">
        <f t="shared" si="67"/>
        <v>0</v>
      </c>
      <c r="J97" s="25">
        <f t="shared" si="67"/>
        <v>0</v>
      </c>
      <c r="K97" s="25">
        <f t="shared" ref="K97:K103" si="68">+J97*(1+K$25)*K$2</f>
        <v>0</v>
      </c>
      <c r="L97" s="25">
        <f t="shared" ref="L97:L103" si="69">+K97*(1+L$25)*L$2</f>
        <v>0</v>
      </c>
      <c r="M97" s="25">
        <f t="shared" ref="M97:M103" si="70">+L97*(1+M$25)*M$2</f>
        <v>0</v>
      </c>
      <c r="N97" s="25">
        <f t="shared" ref="N97:N103" si="71">+M97*(1+N$25)*N$2</f>
        <v>0</v>
      </c>
      <c r="O97" s="25">
        <f t="shared" ref="O97:O103" si="72">+N97*(1+O$25)*O$2</f>
        <v>0</v>
      </c>
      <c r="P97" s="25">
        <f t="shared" ref="P97:P103" si="73">+O97*(1+P$25)*P$2</f>
        <v>0</v>
      </c>
      <c r="Q97" s="25">
        <f t="shared" ref="Q97:Q103" si="74">+P97*(1+Q$25)*Q$2</f>
        <v>0</v>
      </c>
      <c r="R97" s="25">
        <f t="shared" ref="R97:R103" si="75">+Q97*(1+R$25)*R$2</f>
        <v>0</v>
      </c>
      <c r="S97" s="25">
        <f t="shared" ref="S97:S103" si="76">+R97*(1+S$25)*S$2</f>
        <v>0</v>
      </c>
      <c r="T97" s="25">
        <f t="shared" ref="T97:T103" si="77">+S97*(1+T$25)*T$2</f>
        <v>0</v>
      </c>
      <c r="U97" s="25">
        <f t="shared" ref="U97:U103" si="78">+T97*(1+U$25)*U$2</f>
        <v>0</v>
      </c>
      <c r="V97" s="25">
        <f t="shared" ref="V97:V103" si="79">+U97*(1+V$25)*V$2</f>
        <v>0</v>
      </c>
      <c r="W97" s="25">
        <f t="shared" ref="W97:W103" si="80">+V97*(1+W$25)*W$2</f>
        <v>0</v>
      </c>
      <c r="X97" s="25">
        <f t="shared" ref="X97:X103" si="81">+W97*(1+X$25)*X$2</f>
        <v>0</v>
      </c>
    </row>
    <row r="98" spans="2:24" outlineLevel="1" x14ac:dyDescent="0.2">
      <c r="B98" s="17" t="s">
        <v>45</v>
      </c>
      <c r="C98" s="29"/>
      <c r="D98" s="14"/>
      <c r="E98" s="40">
        <v>800000</v>
      </c>
      <c r="F98" s="25">
        <f t="shared" si="67"/>
        <v>832000</v>
      </c>
      <c r="G98" s="25">
        <f t="shared" si="67"/>
        <v>865280</v>
      </c>
      <c r="H98" s="25">
        <f t="shared" si="67"/>
        <v>899891.20000000007</v>
      </c>
      <c r="I98" s="25">
        <f t="shared" si="67"/>
        <v>0</v>
      </c>
      <c r="J98" s="25">
        <f t="shared" si="67"/>
        <v>0</v>
      </c>
      <c r="K98" s="25">
        <f t="shared" si="68"/>
        <v>0</v>
      </c>
      <c r="L98" s="25">
        <f t="shared" si="69"/>
        <v>0</v>
      </c>
      <c r="M98" s="25">
        <f t="shared" si="70"/>
        <v>0</v>
      </c>
      <c r="N98" s="25">
        <f t="shared" si="71"/>
        <v>0</v>
      </c>
      <c r="O98" s="25">
        <f t="shared" si="72"/>
        <v>0</v>
      </c>
      <c r="P98" s="25">
        <f t="shared" si="73"/>
        <v>0</v>
      </c>
      <c r="Q98" s="25">
        <f t="shared" si="74"/>
        <v>0</v>
      </c>
      <c r="R98" s="25">
        <f t="shared" si="75"/>
        <v>0</v>
      </c>
      <c r="S98" s="25">
        <f t="shared" si="76"/>
        <v>0</v>
      </c>
      <c r="T98" s="25">
        <f t="shared" si="77"/>
        <v>0</v>
      </c>
      <c r="U98" s="25">
        <f t="shared" si="78"/>
        <v>0</v>
      </c>
      <c r="V98" s="25">
        <f t="shared" si="79"/>
        <v>0</v>
      </c>
      <c r="W98" s="25">
        <f t="shared" si="80"/>
        <v>0</v>
      </c>
      <c r="X98" s="25">
        <f t="shared" si="81"/>
        <v>0</v>
      </c>
    </row>
    <row r="99" spans="2:24" outlineLevel="1" x14ac:dyDescent="0.2">
      <c r="B99" s="17" t="s">
        <v>46</v>
      </c>
      <c r="D99" s="14"/>
      <c r="E99" s="40">
        <v>12456000</v>
      </c>
      <c r="F99" s="25">
        <f t="shared" si="67"/>
        <v>12954240</v>
      </c>
      <c r="G99" s="25">
        <f t="shared" si="67"/>
        <v>13472409.6</v>
      </c>
      <c r="H99" s="25">
        <f t="shared" si="67"/>
        <v>14011305.983999999</v>
      </c>
      <c r="I99" s="25">
        <f t="shared" si="67"/>
        <v>0</v>
      </c>
      <c r="J99" s="25">
        <f t="shared" si="67"/>
        <v>0</v>
      </c>
      <c r="K99" s="25">
        <f t="shared" si="68"/>
        <v>0</v>
      </c>
      <c r="L99" s="25">
        <f t="shared" si="69"/>
        <v>0</v>
      </c>
      <c r="M99" s="25">
        <f t="shared" si="70"/>
        <v>0</v>
      </c>
      <c r="N99" s="25">
        <f t="shared" si="71"/>
        <v>0</v>
      </c>
      <c r="O99" s="25">
        <f t="shared" si="72"/>
        <v>0</v>
      </c>
      <c r="P99" s="25">
        <f t="shared" si="73"/>
        <v>0</v>
      </c>
      <c r="Q99" s="25">
        <f t="shared" si="74"/>
        <v>0</v>
      </c>
      <c r="R99" s="25">
        <f t="shared" si="75"/>
        <v>0</v>
      </c>
      <c r="S99" s="25">
        <f t="shared" si="76"/>
        <v>0</v>
      </c>
      <c r="T99" s="25">
        <f t="shared" si="77"/>
        <v>0</v>
      </c>
      <c r="U99" s="25">
        <f t="shared" si="78"/>
        <v>0</v>
      </c>
      <c r="V99" s="25">
        <f t="shared" si="79"/>
        <v>0</v>
      </c>
      <c r="W99" s="25">
        <f t="shared" si="80"/>
        <v>0</v>
      </c>
      <c r="X99" s="25">
        <f t="shared" si="81"/>
        <v>0</v>
      </c>
    </row>
    <row r="100" spans="2:24" outlineLevel="1" x14ac:dyDescent="0.2">
      <c r="B100" s="17" t="s">
        <v>47</v>
      </c>
      <c r="D100" s="14"/>
      <c r="E100" s="40">
        <v>6000000</v>
      </c>
      <c r="F100" s="25">
        <f t="shared" si="67"/>
        <v>6240000</v>
      </c>
      <c r="G100" s="25">
        <f t="shared" si="67"/>
        <v>6489600</v>
      </c>
      <c r="H100" s="25">
        <f t="shared" si="67"/>
        <v>6749184</v>
      </c>
      <c r="I100" s="25">
        <f t="shared" si="67"/>
        <v>0</v>
      </c>
      <c r="J100" s="25">
        <f t="shared" si="67"/>
        <v>0</v>
      </c>
      <c r="K100" s="25">
        <f t="shared" si="68"/>
        <v>0</v>
      </c>
      <c r="L100" s="25">
        <f t="shared" si="69"/>
        <v>0</v>
      </c>
      <c r="M100" s="25">
        <f t="shared" si="70"/>
        <v>0</v>
      </c>
      <c r="N100" s="25">
        <f t="shared" si="71"/>
        <v>0</v>
      </c>
      <c r="O100" s="25">
        <f t="shared" si="72"/>
        <v>0</v>
      </c>
      <c r="P100" s="25">
        <f t="shared" si="73"/>
        <v>0</v>
      </c>
      <c r="Q100" s="25">
        <f t="shared" si="74"/>
        <v>0</v>
      </c>
      <c r="R100" s="25">
        <f t="shared" si="75"/>
        <v>0</v>
      </c>
      <c r="S100" s="25">
        <f t="shared" si="76"/>
        <v>0</v>
      </c>
      <c r="T100" s="25">
        <f t="shared" si="77"/>
        <v>0</v>
      </c>
      <c r="U100" s="25">
        <f t="shared" si="78"/>
        <v>0</v>
      </c>
      <c r="V100" s="25">
        <f t="shared" si="79"/>
        <v>0</v>
      </c>
      <c r="W100" s="25">
        <f t="shared" si="80"/>
        <v>0</v>
      </c>
      <c r="X100" s="25">
        <f t="shared" si="81"/>
        <v>0</v>
      </c>
    </row>
    <row r="101" spans="2:24" outlineLevel="1" x14ac:dyDescent="0.2">
      <c r="B101" s="17" t="s">
        <v>48</v>
      </c>
      <c r="D101" s="14"/>
      <c r="E101" s="40">
        <v>3000000</v>
      </c>
      <c r="F101" s="25">
        <f t="shared" si="67"/>
        <v>3120000</v>
      </c>
      <c r="G101" s="25">
        <f t="shared" si="67"/>
        <v>3244800</v>
      </c>
      <c r="H101" s="25">
        <f t="shared" si="67"/>
        <v>3374592</v>
      </c>
      <c r="I101" s="25">
        <f t="shared" si="67"/>
        <v>0</v>
      </c>
      <c r="J101" s="25">
        <f t="shared" si="67"/>
        <v>0</v>
      </c>
      <c r="K101" s="25">
        <f t="shared" si="68"/>
        <v>0</v>
      </c>
      <c r="L101" s="25">
        <f t="shared" si="69"/>
        <v>0</v>
      </c>
      <c r="M101" s="25">
        <f t="shared" si="70"/>
        <v>0</v>
      </c>
      <c r="N101" s="25">
        <f t="shared" si="71"/>
        <v>0</v>
      </c>
      <c r="O101" s="25">
        <f t="shared" si="72"/>
        <v>0</v>
      </c>
      <c r="P101" s="25">
        <f t="shared" si="73"/>
        <v>0</v>
      </c>
      <c r="Q101" s="25">
        <f t="shared" si="74"/>
        <v>0</v>
      </c>
      <c r="R101" s="25">
        <f t="shared" si="75"/>
        <v>0</v>
      </c>
      <c r="S101" s="25">
        <f t="shared" si="76"/>
        <v>0</v>
      </c>
      <c r="T101" s="25">
        <f t="shared" si="77"/>
        <v>0</v>
      </c>
      <c r="U101" s="25">
        <f t="shared" si="78"/>
        <v>0</v>
      </c>
      <c r="V101" s="25">
        <f t="shared" si="79"/>
        <v>0</v>
      </c>
      <c r="W101" s="25">
        <f t="shared" si="80"/>
        <v>0</v>
      </c>
      <c r="X101" s="25">
        <f t="shared" si="81"/>
        <v>0</v>
      </c>
    </row>
    <row r="102" spans="2:24" hidden="1" outlineLevel="1" x14ac:dyDescent="0.2">
      <c r="B102" s="17" t="s">
        <v>49</v>
      </c>
      <c r="D102" s="14"/>
      <c r="E102" s="40">
        <v>2000</v>
      </c>
      <c r="F102" s="25">
        <f t="shared" si="67"/>
        <v>2080</v>
      </c>
      <c r="G102" s="25">
        <f t="shared" si="67"/>
        <v>2163.2000000000003</v>
      </c>
      <c r="H102" s="25">
        <f t="shared" si="67"/>
        <v>2249.7280000000005</v>
      </c>
      <c r="I102" s="25">
        <f t="shared" si="67"/>
        <v>0</v>
      </c>
      <c r="J102" s="25">
        <f t="shared" si="67"/>
        <v>0</v>
      </c>
      <c r="K102" s="25">
        <f t="shared" si="68"/>
        <v>0</v>
      </c>
      <c r="L102" s="25">
        <f t="shared" si="69"/>
        <v>0</v>
      </c>
      <c r="M102" s="25">
        <f t="shared" si="70"/>
        <v>0</v>
      </c>
      <c r="N102" s="25">
        <f t="shared" si="71"/>
        <v>0</v>
      </c>
      <c r="O102" s="25">
        <f t="shared" si="72"/>
        <v>0</v>
      </c>
      <c r="P102" s="25">
        <f t="shared" si="73"/>
        <v>0</v>
      </c>
      <c r="Q102" s="25">
        <f t="shared" si="74"/>
        <v>0</v>
      </c>
      <c r="R102" s="25">
        <f t="shared" si="75"/>
        <v>0</v>
      </c>
      <c r="S102" s="25">
        <f t="shared" si="76"/>
        <v>0</v>
      </c>
      <c r="T102" s="25">
        <f t="shared" si="77"/>
        <v>0</v>
      </c>
      <c r="U102" s="25">
        <f t="shared" si="78"/>
        <v>0</v>
      </c>
      <c r="V102" s="25">
        <f t="shared" si="79"/>
        <v>0</v>
      </c>
      <c r="W102" s="25">
        <f t="shared" si="80"/>
        <v>0</v>
      </c>
      <c r="X102" s="25">
        <f t="shared" si="81"/>
        <v>0</v>
      </c>
    </row>
    <row r="103" spans="2:24" outlineLevel="1" x14ac:dyDescent="0.2">
      <c r="B103" s="17" t="s">
        <v>50</v>
      </c>
      <c r="D103" s="14"/>
      <c r="E103" s="40">
        <v>3000000</v>
      </c>
      <c r="F103" s="25">
        <f t="shared" si="67"/>
        <v>3120000</v>
      </c>
      <c r="G103" s="25">
        <f t="shared" si="67"/>
        <v>3244800</v>
      </c>
      <c r="H103" s="25">
        <f t="shared" si="67"/>
        <v>3374592</v>
      </c>
      <c r="I103" s="25">
        <f t="shared" si="67"/>
        <v>0</v>
      </c>
      <c r="J103" s="25">
        <f t="shared" si="67"/>
        <v>0</v>
      </c>
      <c r="K103" s="25">
        <f t="shared" si="68"/>
        <v>0</v>
      </c>
      <c r="L103" s="25">
        <f t="shared" si="69"/>
        <v>0</v>
      </c>
      <c r="M103" s="25">
        <f t="shared" si="70"/>
        <v>0</v>
      </c>
      <c r="N103" s="25">
        <f t="shared" si="71"/>
        <v>0</v>
      </c>
      <c r="O103" s="25">
        <f t="shared" si="72"/>
        <v>0</v>
      </c>
      <c r="P103" s="25">
        <f t="shared" si="73"/>
        <v>0</v>
      </c>
      <c r="Q103" s="25">
        <f t="shared" si="74"/>
        <v>0</v>
      </c>
      <c r="R103" s="25">
        <f t="shared" si="75"/>
        <v>0</v>
      </c>
      <c r="S103" s="25">
        <f t="shared" si="76"/>
        <v>0</v>
      </c>
      <c r="T103" s="25">
        <f t="shared" si="77"/>
        <v>0</v>
      </c>
      <c r="U103" s="25">
        <f t="shared" si="78"/>
        <v>0</v>
      </c>
      <c r="V103" s="25">
        <f t="shared" si="79"/>
        <v>0</v>
      </c>
      <c r="W103" s="25">
        <f t="shared" si="80"/>
        <v>0</v>
      </c>
      <c r="X103" s="25">
        <f t="shared" si="81"/>
        <v>0</v>
      </c>
    </row>
    <row r="104" spans="2:24" outlineLevel="1" x14ac:dyDescent="0.2">
      <c r="B104" s="17" t="s">
        <v>51</v>
      </c>
      <c r="D104" s="14"/>
      <c r="E104" s="25">
        <f>+SUM(E114:E120)</f>
        <v>4388000</v>
      </c>
      <c r="F104" s="25">
        <f t="shared" ref="F104:J104" si="82">+SUM(F114:F120)</f>
        <v>4388000</v>
      </c>
      <c r="G104" s="25">
        <f t="shared" si="82"/>
        <v>4388000</v>
      </c>
      <c r="H104" s="25">
        <f t="shared" si="82"/>
        <v>4388000</v>
      </c>
      <c r="I104" s="25">
        <f t="shared" si="82"/>
        <v>4388000</v>
      </c>
      <c r="J104" s="25">
        <f t="shared" si="82"/>
        <v>3000000</v>
      </c>
      <c r="K104" s="25">
        <f t="shared" ref="K104:N104" si="83">+SUM(K114:K120)</f>
        <v>3000000</v>
      </c>
      <c r="L104" s="25">
        <f t="shared" si="83"/>
        <v>3000000</v>
      </c>
      <c r="M104" s="25">
        <f t="shared" si="83"/>
        <v>3000000</v>
      </c>
      <c r="N104" s="25">
        <f t="shared" si="83"/>
        <v>3000000</v>
      </c>
      <c r="O104" s="25">
        <f t="shared" ref="O104:X104" si="84">+SUM(O114:O120)</f>
        <v>0</v>
      </c>
      <c r="P104" s="25">
        <f t="shared" si="84"/>
        <v>0</v>
      </c>
      <c r="Q104" s="25">
        <f t="shared" si="84"/>
        <v>0</v>
      </c>
      <c r="R104" s="25">
        <f t="shared" si="84"/>
        <v>0</v>
      </c>
      <c r="S104" s="25">
        <f t="shared" si="84"/>
        <v>0</v>
      </c>
      <c r="T104" s="25">
        <f t="shared" si="84"/>
        <v>0</v>
      </c>
      <c r="U104" s="25">
        <f t="shared" si="84"/>
        <v>0</v>
      </c>
      <c r="V104" s="25">
        <f t="shared" si="84"/>
        <v>0</v>
      </c>
      <c r="W104" s="25">
        <f t="shared" si="84"/>
        <v>0</v>
      </c>
      <c r="X104" s="25">
        <f t="shared" si="84"/>
        <v>0</v>
      </c>
    </row>
    <row r="105" spans="2:24" outlineLevel="1" x14ac:dyDescent="0.2">
      <c r="B105" s="17"/>
      <c r="C105" s="25"/>
      <c r="D105" s="25"/>
      <c r="E105" s="25"/>
      <c r="F105" s="25"/>
      <c r="G105" s="25"/>
      <c r="H105" s="25"/>
      <c r="I105" s="25"/>
    </row>
    <row r="106" spans="2:24" outlineLevel="1" x14ac:dyDescent="0.2">
      <c r="B106" s="17"/>
    </row>
    <row r="107" spans="2:24" outlineLevel="1" x14ac:dyDescent="0.2">
      <c r="B107" s="41" t="s">
        <v>52</v>
      </c>
      <c r="D107" s="14"/>
      <c r="E107" s="42">
        <f>+SUM(E97:E105)</f>
        <v>163413840</v>
      </c>
      <c r="F107" s="42">
        <f t="shared" ref="F107:X107" si="85">+SUM(F97:F105)</f>
        <v>169774873.59999999</v>
      </c>
      <c r="G107" s="42">
        <f t="shared" si="85"/>
        <v>176390348.54399997</v>
      </c>
      <c r="H107" s="42">
        <f t="shared" si="85"/>
        <v>183270442.48575997</v>
      </c>
      <c r="I107" s="42">
        <f t="shared" si="85"/>
        <v>4388000</v>
      </c>
      <c r="J107" s="42">
        <f t="shared" si="85"/>
        <v>3000000</v>
      </c>
      <c r="K107" s="42">
        <f t="shared" si="85"/>
        <v>3000000</v>
      </c>
      <c r="L107" s="42">
        <f t="shared" si="85"/>
        <v>3000000</v>
      </c>
      <c r="M107" s="42">
        <f t="shared" si="85"/>
        <v>3000000</v>
      </c>
      <c r="N107" s="42">
        <f t="shared" si="85"/>
        <v>3000000</v>
      </c>
      <c r="O107" s="42">
        <f t="shared" si="85"/>
        <v>0</v>
      </c>
      <c r="P107" s="42">
        <f t="shared" si="85"/>
        <v>0</v>
      </c>
      <c r="Q107" s="42">
        <f t="shared" si="85"/>
        <v>0</v>
      </c>
      <c r="R107" s="42">
        <f t="shared" si="85"/>
        <v>0</v>
      </c>
      <c r="S107" s="42">
        <f t="shared" si="85"/>
        <v>0</v>
      </c>
      <c r="T107" s="42">
        <f t="shared" si="85"/>
        <v>0</v>
      </c>
      <c r="U107" s="42">
        <f t="shared" si="85"/>
        <v>0</v>
      </c>
      <c r="V107" s="42">
        <f t="shared" si="85"/>
        <v>0</v>
      </c>
      <c r="W107" s="42">
        <f t="shared" si="85"/>
        <v>0</v>
      </c>
      <c r="X107" s="42">
        <f t="shared" si="85"/>
        <v>0</v>
      </c>
    </row>
    <row r="108" spans="2:24" outlineLevel="1" x14ac:dyDescent="0.2">
      <c r="B108" s="17"/>
    </row>
    <row r="109" spans="2:24" x14ac:dyDescent="0.2">
      <c r="B109" s="17"/>
    </row>
    <row r="110" spans="2:24" ht="15" x14ac:dyDescent="0.25">
      <c r="B110" s="13" t="s">
        <v>53</v>
      </c>
    </row>
    <row r="111" spans="2:24" x14ac:dyDescent="0.2">
      <c r="B111" s="17"/>
    </row>
    <row r="112" spans="2:24" outlineLevel="1" x14ac:dyDescent="0.2">
      <c r="B112" s="8" t="s">
        <v>54</v>
      </c>
      <c r="C112" s="8" t="s">
        <v>55</v>
      </c>
    </row>
    <row r="113" spans="1:24" hidden="1" outlineLevel="1" x14ac:dyDescent="0.2">
      <c r="A113" s="43"/>
      <c r="B113" s="17" t="s">
        <v>56</v>
      </c>
      <c r="C113" s="14"/>
      <c r="D113" s="43">
        <v>0</v>
      </c>
      <c r="E113" s="14"/>
      <c r="F113" s="14"/>
      <c r="G113" s="14"/>
      <c r="H113" s="14"/>
      <c r="I113" s="14"/>
      <c r="J113" s="14"/>
      <c r="K113" s="14"/>
      <c r="L113" s="14"/>
      <c r="M113" s="14"/>
      <c r="N113" s="14"/>
      <c r="O113" s="14"/>
      <c r="P113" s="14"/>
      <c r="Q113" s="14"/>
      <c r="R113" s="14"/>
      <c r="S113" s="14"/>
      <c r="T113" s="14"/>
      <c r="U113" s="14"/>
      <c r="V113" s="14"/>
      <c r="W113" s="14"/>
      <c r="X113" s="14"/>
    </row>
    <row r="114" spans="1:24" outlineLevel="1" x14ac:dyDescent="0.2">
      <c r="A114" s="43"/>
      <c r="B114" s="17" t="s">
        <v>57</v>
      </c>
      <c r="C114" s="44">
        <v>5</v>
      </c>
      <c r="D114" s="43">
        <v>2600000</v>
      </c>
      <c r="E114" s="45">
        <f t="shared" ref="E114:T120" si="86">IF(E$1&lt;=$C114,$D114/$C114,0)</f>
        <v>520000</v>
      </c>
      <c r="F114" s="45">
        <f t="shared" si="86"/>
        <v>520000</v>
      </c>
      <c r="G114" s="45">
        <f t="shared" si="86"/>
        <v>520000</v>
      </c>
      <c r="H114" s="45">
        <f t="shared" si="86"/>
        <v>520000</v>
      </c>
      <c r="I114" s="45">
        <f t="shared" si="86"/>
        <v>520000</v>
      </c>
      <c r="J114" s="45">
        <f t="shared" si="86"/>
        <v>0</v>
      </c>
      <c r="K114" s="45">
        <f t="shared" si="86"/>
        <v>0</v>
      </c>
      <c r="L114" s="45">
        <f t="shared" si="86"/>
        <v>0</v>
      </c>
      <c r="M114" s="45">
        <f t="shared" si="86"/>
        <v>0</v>
      </c>
      <c r="N114" s="45">
        <f t="shared" si="86"/>
        <v>0</v>
      </c>
      <c r="O114" s="45">
        <f t="shared" si="86"/>
        <v>0</v>
      </c>
      <c r="P114" s="45">
        <f t="shared" si="86"/>
        <v>0</v>
      </c>
      <c r="Q114" s="45">
        <f t="shared" si="86"/>
        <v>0</v>
      </c>
      <c r="R114" s="45">
        <f t="shared" si="86"/>
        <v>0</v>
      </c>
      <c r="S114" s="45">
        <f t="shared" si="86"/>
        <v>0</v>
      </c>
      <c r="T114" s="45">
        <f t="shared" si="86"/>
        <v>0</v>
      </c>
      <c r="U114" s="45">
        <f t="shared" ref="O114:X120" si="87">IF(U$1&lt;=$C114,$D114/$C114,0)</f>
        <v>0</v>
      </c>
      <c r="V114" s="45">
        <f t="shared" si="87"/>
        <v>0</v>
      </c>
      <c r="W114" s="45">
        <f t="shared" si="87"/>
        <v>0</v>
      </c>
      <c r="X114" s="45">
        <f t="shared" si="87"/>
        <v>0</v>
      </c>
    </row>
    <row r="115" spans="1:24" hidden="1" outlineLevel="1" x14ac:dyDescent="0.2">
      <c r="A115" s="43"/>
      <c r="B115" s="17" t="s">
        <v>58</v>
      </c>
      <c r="C115" s="44">
        <v>5</v>
      </c>
      <c r="D115" s="43">
        <v>0</v>
      </c>
      <c r="E115" s="45">
        <f t="shared" si="86"/>
        <v>0</v>
      </c>
      <c r="F115" s="45">
        <f t="shared" si="86"/>
        <v>0</v>
      </c>
      <c r="G115" s="45">
        <f t="shared" si="86"/>
        <v>0</v>
      </c>
      <c r="H115" s="45">
        <f t="shared" si="86"/>
        <v>0</v>
      </c>
      <c r="I115" s="45">
        <f t="shared" si="86"/>
        <v>0</v>
      </c>
      <c r="J115" s="45">
        <f t="shared" si="86"/>
        <v>0</v>
      </c>
      <c r="K115" s="45">
        <f t="shared" si="86"/>
        <v>0</v>
      </c>
      <c r="L115" s="45">
        <f t="shared" si="86"/>
        <v>0</v>
      </c>
      <c r="M115" s="45">
        <f t="shared" si="86"/>
        <v>0</v>
      </c>
      <c r="N115" s="45">
        <f t="shared" si="86"/>
        <v>0</v>
      </c>
      <c r="O115" s="45">
        <f t="shared" si="87"/>
        <v>0</v>
      </c>
      <c r="P115" s="45">
        <f t="shared" si="87"/>
        <v>0</v>
      </c>
      <c r="Q115" s="45">
        <f t="shared" si="87"/>
        <v>0</v>
      </c>
      <c r="R115" s="45">
        <f t="shared" si="87"/>
        <v>0</v>
      </c>
      <c r="S115" s="45">
        <f t="shared" si="87"/>
        <v>0</v>
      </c>
      <c r="T115" s="45">
        <f t="shared" si="87"/>
        <v>0</v>
      </c>
      <c r="U115" s="45">
        <f t="shared" si="87"/>
        <v>0</v>
      </c>
      <c r="V115" s="45">
        <f t="shared" si="87"/>
        <v>0</v>
      </c>
      <c r="W115" s="45">
        <f t="shared" si="87"/>
        <v>0</v>
      </c>
      <c r="X115" s="45">
        <f t="shared" si="87"/>
        <v>0</v>
      </c>
    </row>
    <row r="116" spans="1:24" outlineLevel="1" x14ac:dyDescent="0.2">
      <c r="A116" s="43"/>
      <c r="B116" s="17" t="s">
        <v>59</v>
      </c>
      <c r="C116" s="44">
        <v>10</v>
      </c>
      <c r="D116" s="43">
        <v>30000000</v>
      </c>
      <c r="E116" s="45">
        <f t="shared" si="86"/>
        <v>3000000</v>
      </c>
      <c r="F116" s="45">
        <f t="shared" si="86"/>
        <v>3000000</v>
      </c>
      <c r="G116" s="45">
        <f t="shared" si="86"/>
        <v>3000000</v>
      </c>
      <c r="H116" s="45">
        <f t="shared" si="86"/>
        <v>3000000</v>
      </c>
      <c r="I116" s="45">
        <f t="shared" si="86"/>
        <v>3000000</v>
      </c>
      <c r="J116" s="45">
        <f t="shared" si="86"/>
        <v>3000000</v>
      </c>
      <c r="K116" s="45">
        <f t="shared" si="86"/>
        <v>3000000</v>
      </c>
      <c r="L116" s="45">
        <f t="shared" si="86"/>
        <v>3000000</v>
      </c>
      <c r="M116" s="45">
        <f t="shared" si="86"/>
        <v>3000000</v>
      </c>
      <c r="N116" s="45">
        <f t="shared" si="86"/>
        <v>3000000</v>
      </c>
      <c r="O116" s="45">
        <f t="shared" si="87"/>
        <v>0</v>
      </c>
      <c r="P116" s="45">
        <f t="shared" si="87"/>
        <v>0</v>
      </c>
      <c r="Q116" s="45">
        <f t="shared" si="87"/>
        <v>0</v>
      </c>
      <c r="R116" s="45">
        <f t="shared" si="87"/>
        <v>0</v>
      </c>
      <c r="S116" s="45">
        <f t="shared" si="87"/>
        <v>0</v>
      </c>
      <c r="T116" s="45">
        <f t="shared" si="87"/>
        <v>0</v>
      </c>
      <c r="U116" s="45">
        <f t="shared" si="87"/>
        <v>0</v>
      </c>
      <c r="V116" s="45">
        <f t="shared" si="87"/>
        <v>0</v>
      </c>
      <c r="W116" s="45">
        <f t="shared" si="87"/>
        <v>0</v>
      </c>
      <c r="X116" s="45">
        <f t="shared" si="87"/>
        <v>0</v>
      </c>
    </row>
    <row r="117" spans="1:24" hidden="1" outlineLevel="1" x14ac:dyDescent="0.2">
      <c r="A117" s="43"/>
      <c r="B117" s="17" t="s">
        <v>60</v>
      </c>
      <c r="C117" s="44">
        <v>5</v>
      </c>
      <c r="D117" s="43">
        <v>0</v>
      </c>
      <c r="E117" s="45">
        <f t="shared" si="86"/>
        <v>0</v>
      </c>
      <c r="F117" s="45">
        <f t="shared" si="86"/>
        <v>0</v>
      </c>
      <c r="G117" s="45">
        <f t="shared" si="86"/>
        <v>0</v>
      </c>
      <c r="H117" s="45">
        <f t="shared" si="86"/>
        <v>0</v>
      </c>
      <c r="I117" s="45">
        <f t="shared" si="86"/>
        <v>0</v>
      </c>
      <c r="J117" s="45">
        <f t="shared" si="86"/>
        <v>0</v>
      </c>
      <c r="K117" s="45">
        <f t="shared" si="86"/>
        <v>0</v>
      </c>
      <c r="L117" s="45">
        <f t="shared" si="86"/>
        <v>0</v>
      </c>
      <c r="M117" s="45">
        <f t="shared" si="86"/>
        <v>0</v>
      </c>
      <c r="N117" s="45">
        <f t="shared" si="86"/>
        <v>0</v>
      </c>
      <c r="O117" s="45">
        <f t="shared" si="87"/>
        <v>0</v>
      </c>
      <c r="P117" s="45">
        <f t="shared" si="87"/>
        <v>0</v>
      </c>
      <c r="Q117" s="45">
        <f t="shared" si="87"/>
        <v>0</v>
      </c>
      <c r="R117" s="45">
        <f t="shared" si="87"/>
        <v>0</v>
      </c>
      <c r="S117" s="45">
        <f t="shared" si="87"/>
        <v>0</v>
      </c>
      <c r="T117" s="45">
        <f t="shared" si="87"/>
        <v>0</v>
      </c>
      <c r="U117" s="45">
        <f t="shared" si="87"/>
        <v>0</v>
      </c>
      <c r="V117" s="45">
        <f t="shared" si="87"/>
        <v>0</v>
      </c>
      <c r="W117" s="45">
        <f t="shared" si="87"/>
        <v>0</v>
      </c>
      <c r="X117" s="45">
        <f t="shared" si="87"/>
        <v>0</v>
      </c>
    </row>
    <row r="118" spans="1:24" hidden="1" outlineLevel="1" x14ac:dyDescent="0.2">
      <c r="A118" s="43"/>
      <c r="B118" s="17" t="s">
        <v>61</v>
      </c>
      <c r="C118" s="44">
        <v>5</v>
      </c>
      <c r="D118" s="43">
        <v>0</v>
      </c>
      <c r="E118" s="45">
        <f t="shared" si="86"/>
        <v>0</v>
      </c>
      <c r="F118" s="45">
        <f t="shared" si="86"/>
        <v>0</v>
      </c>
      <c r="G118" s="45">
        <f t="shared" si="86"/>
        <v>0</v>
      </c>
      <c r="H118" s="45">
        <f t="shared" si="86"/>
        <v>0</v>
      </c>
      <c r="I118" s="45">
        <f t="shared" si="86"/>
        <v>0</v>
      </c>
      <c r="J118" s="45">
        <f t="shared" si="86"/>
        <v>0</v>
      </c>
      <c r="K118" s="45">
        <f t="shared" si="86"/>
        <v>0</v>
      </c>
      <c r="L118" s="45">
        <f t="shared" si="86"/>
        <v>0</v>
      </c>
      <c r="M118" s="45">
        <f t="shared" si="86"/>
        <v>0</v>
      </c>
      <c r="N118" s="45">
        <f t="shared" si="86"/>
        <v>0</v>
      </c>
      <c r="O118" s="45">
        <f t="shared" si="87"/>
        <v>0</v>
      </c>
      <c r="P118" s="45">
        <f t="shared" si="87"/>
        <v>0</v>
      </c>
      <c r="Q118" s="45">
        <f t="shared" si="87"/>
        <v>0</v>
      </c>
      <c r="R118" s="45">
        <f t="shared" si="87"/>
        <v>0</v>
      </c>
      <c r="S118" s="45">
        <f t="shared" si="87"/>
        <v>0</v>
      </c>
      <c r="T118" s="45">
        <f t="shared" si="87"/>
        <v>0</v>
      </c>
      <c r="U118" s="45">
        <f t="shared" si="87"/>
        <v>0</v>
      </c>
      <c r="V118" s="45">
        <f t="shared" si="87"/>
        <v>0</v>
      </c>
      <c r="W118" s="45">
        <f t="shared" si="87"/>
        <v>0</v>
      </c>
      <c r="X118" s="45">
        <f t="shared" si="87"/>
        <v>0</v>
      </c>
    </row>
    <row r="119" spans="1:24" outlineLevel="1" x14ac:dyDescent="0.2">
      <c r="A119" s="43"/>
      <c r="B119" s="17" t="s">
        <v>62</v>
      </c>
      <c r="C119" s="44">
        <v>5</v>
      </c>
      <c r="D119" s="43">
        <v>4340000</v>
      </c>
      <c r="E119" s="45">
        <f t="shared" si="86"/>
        <v>868000</v>
      </c>
      <c r="F119" s="45">
        <f t="shared" si="86"/>
        <v>868000</v>
      </c>
      <c r="G119" s="45">
        <f t="shared" si="86"/>
        <v>868000</v>
      </c>
      <c r="H119" s="45">
        <f t="shared" si="86"/>
        <v>868000</v>
      </c>
      <c r="I119" s="45">
        <f t="shared" si="86"/>
        <v>868000</v>
      </c>
      <c r="J119" s="45">
        <f t="shared" si="86"/>
        <v>0</v>
      </c>
      <c r="K119" s="45">
        <f t="shared" si="86"/>
        <v>0</v>
      </c>
      <c r="L119" s="45">
        <f t="shared" si="86"/>
        <v>0</v>
      </c>
      <c r="M119" s="45">
        <f t="shared" si="86"/>
        <v>0</v>
      </c>
      <c r="N119" s="45">
        <f t="shared" si="86"/>
        <v>0</v>
      </c>
      <c r="O119" s="45">
        <f t="shared" si="87"/>
        <v>0</v>
      </c>
      <c r="P119" s="45">
        <f t="shared" si="87"/>
        <v>0</v>
      </c>
      <c r="Q119" s="45">
        <f t="shared" si="87"/>
        <v>0</v>
      </c>
      <c r="R119" s="45">
        <f t="shared" si="87"/>
        <v>0</v>
      </c>
      <c r="S119" s="45">
        <f t="shared" si="87"/>
        <v>0</v>
      </c>
      <c r="T119" s="45">
        <f t="shared" si="87"/>
        <v>0</v>
      </c>
      <c r="U119" s="45">
        <f t="shared" si="87"/>
        <v>0</v>
      </c>
      <c r="V119" s="45">
        <f t="shared" si="87"/>
        <v>0</v>
      </c>
      <c r="W119" s="45">
        <f t="shared" si="87"/>
        <v>0</v>
      </c>
      <c r="X119" s="45">
        <f t="shared" si="87"/>
        <v>0</v>
      </c>
    </row>
    <row r="120" spans="1:24" hidden="1" outlineLevel="1" x14ac:dyDescent="0.2">
      <c r="A120" s="43"/>
      <c r="B120" s="17" t="s">
        <v>63</v>
      </c>
      <c r="C120" s="44">
        <v>20</v>
      </c>
      <c r="D120" s="43">
        <v>0</v>
      </c>
      <c r="E120" s="45">
        <f t="shared" si="86"/>
        <v>0</v>
      </c>
      <c r="F120" s="45">
        <f t="shared" si="86"/>
        <v>0</v>
      </c>
      <c r="G120" s="45">
        <f t="shared" si="86"/>
        <v>0</v>
      </c>
      <c r="H120" s="45">
        <f t="shared" si="86"/>
        <v>0</v>
      </c>
      <c r="I120" s="45">
        <f t="shared" si="86"/>
        <v>0</v>
      </c>
      <c r="J120" s="45">
        <f t="shared" si="86"/>
        <v>0</v>
      </c>
      <c r="K120" s="45">
        <f t="shared" si="86"/>
        <v>0</v>
      </c>
      <c r="L120" s="45">
        <f t="shared" si="86"/>
        <v>0</v>
      </c>
      <c r="M120" s="45">
        <f t="shared" si="86"/>
        <v>0</v>
      </c>
      <c r="N120" s="45">
        <f t="shared" si="86"/>
        <v>0</v>
      </c>
      <c r="O120" s="45">
        <f t="shared" si="87"/>
        <v>0</v>
      </c>
      <c r="P120" s="45">
        <f t="shared" si="87"/>
        <v>0</v>
      </c>
      <c r="Q120" s="45">
        <f t="shared" si="87"/>
        <v>0</v>
      </c>
      <c r="R120" s="45">
        <f t="shared" si="87"/>
        <v>0</v>
      </c>
      <c r="S120" s="45">
        <f t="shared" si="87"/>
        <v>0</v>
      </c>
      <c r="T120" s="45">
        <f t="shared" si="87"/>
        <v>0</v>
      </c>
      <c r="U120" s="45">
        <f t="shared" si="87"/>
        <v>0</v>
      </c>
      <c r="V120" s="45">
        <f t="shared" si="87"/>
        <v>0</v>
      </c>
      <c r="W120" s="45">
        <f t="shared" si="87"/>
        <v>0</v>
      </c>
      <c r="X120" s="45">
        <f t="shared" si="87"/>
        <v>0</v>
      </c>
    </row>
    <row r="121" spans="1:24" outlineLevel="1" x14ac:dyDescent="0.2">
      <c r="D121" s="46"/>
    </row>
    <row r="122" spans="1:24" outlineLevel="1" x14ac:dyDescent="0.2">
      <c r="B122" s="41" t="s">
        <v>64</v>
      </c>
      <c r="D122" s="47">
        <f>+SUM(D113:D120)</f>
        <v>36940000</v>
      </c>
    </row>
    <row r="123" spans="1:24" outlineLevel="1" x14ac:dyDescent="0.2"/>
    <row r="124" spans="1:24" outlineLevel="1" x14ac:dyDescent="0.2">
      <c r="B124" s="17" t="s">
        <v>65</v>
      </c>
      <c r="E124" s="45">
        <f t="shared" ref="E124:X124" si="88">+IF(E1-1=$A$17,$D$113*(1+E$26),0)</f>
        <v>0</v>
      </c>
      <c r="F124" s="45">
        <f t="shared" si="88"/>
        <v>0</v>
      </c>
      <c r="G124" s="45">
        <f t="shared" si="88"/>
        <v>0</v>
      </c>
      <c r="H124" s="45">
        <f t="shared" si="88"/>
        <v>0</v>
      </c>
      <c r="I124" s="45">
        <f t="shared" si="88"/>
        <v>0</v>
      </c>
      <c r="J124" s="45">
        <f t="shared" si="88"/>
        <v>0</v>
      </c>
      <c r="K124" s="45">
        <f t="shared" si="88"/>
        <v>0</v>
      </c>
      <c r="L124" s="45">
        <f t="shared" si="88"/>
        <v>0</v>
      </c>
      <c r="M124" s="45">
        <f t="shared" si="88"/>
        <v>0</v>
      </c>
      <c r="N124" s="45">
        <f t="shared" si="88"/>
        <v>0</v>
      </c>
      <c r="O124" s="45">
        <f t="shared" si="88"/>
        <v>0</v>
      </c>
      <c r="P124" s="45">
        <f t="shared" si="88"/>
        <v>0</v>
      </c>
      <c r="Q124" s="45">
        <f t="shared" si="88"/>
        <v>0</v>
      </c>
      <c r="R124" s="45">
        <f t="shared" si="88"/>
        <v>0</v>
      </c>
      <c r="S124" s="45">
        <f t="shared" si="88"/>
        <v>0</v>
      </c>
      <c r="T124" s="45">
        <f t="shared" si="88"/>
        <v>0</v>
      </c>
      <c r="U124" s="45">
        <f t="shared" si="88"/>
        <v>0</v>
      </c>
      <c r="V124" s="45">
        <f t="shared" si="88"/>
        <v>0</v>
      </c>
      <c r="W124" s="45">
        <f t="shared" si="88"/>
        <v>0</v>
      </c>
      <c r="X124" s="45">
        <f t="shared" si="88"/>
        <v>0</v>
      </c>
    </row>
    <row r="125" spans="1:24" outlineLevel="1" x14ac:dyDescent="0.2">
      <c r="B125" s="17" t="s">
        <v>66</v>
      </c>
      <c r="E125" s="45">
        <f t="shared" ref="E125:X125" si="89">IF(E1-1=$A$17,$D$113-E124,0)</f>
        <v>0</v>
      </c>
      <c r="F125" s="45">
        <f t="shared" si="89"/>
        <v>0</v>
      </c>
      <c r="G125" s="45">
        <f t="shared" si="89"/>
        <v>0</v>
      </c>
      <c r="H125" s="45">
        <f t="shared" si="89"/>
        <v>0</v>
      </c>
      <c r="I125" s="45">
        <f t="shared" si="89"/>
        <v>0</v>
      </c>
      <c r="J125" s="45">
        <f t="shared" si="89"/>
        <v>0</v>
      </c>
      <c r="K125" s="45">
        <f t="shared" si="89"/>
        <v>0</v>
      </c>
      <c r="L125" s="45">
        <f t="shared" si="89"/>
        <v>0</v>
      </c>
      <c r="M125" s="45">
        <f t="shared" si="89"/>
        <v>0</v>
      </c>
      <c r="N125" s="45">
        <f t="shared" si="89"/>
        <v>0</v>
      </c>
      <c r="O125" s="45">
        <f t="shared" si="89"/>
        <v>0</v>
      </c>
      <c r="P125" s="45">
        <f t="shared" si="89"/>
        <v>0</v>
      </c>
      <c r="Q125" s="45">
        <f t="shared" si="89"/>
        <v>0</v>
      </c>
      <c r="R125" s="45">
        <f t="shared" si="89"/>
        <v>0</v>
      </c>
      <c r="S125" s="45">
        <f t="shared" si="89"/>
        <v>0</v>
      </c>
      <c r="T125" s="45">
        <f t="shared" si="89"/>
        <v>0</v>
      </c>
      <c r="U125" s="45">
        <f t="shared" si="89"/>
        <v>0</v>
      </c>
      <c r="V125" s="45">
        <f t="shared" si="89"/>
        <v>0</v>
      </c>
      <c r="W125" s="45">
        <f t="shared" si="89"/>
        <v>0</v>
      </c>
      <c r="X125" s="45">
        <f t="shared" si="89"/>
        <v>0</v>
      </c>
    </row>
    <row r="126" spans="1:24" outlineLevel="1" x14ac:dyDescent="0.2"/>
    <row r="127" spans="1:24" outlineLevel="1" x14ac:dyDescent="0.2">
      <c r="B127" s="8" t="s">
        <v>67</v>
      </c>
    </row>
    <row r="128" spans="1:24" hidden="1" outlineLevel="1" x14ac:dyDescent="0.2">
      <c r="A128" s="43"/>
      <c r="B128" s="17" t="s">
        <v>68</v>
      </c>
      <c r="C128">
        <f>+$A$17</f>
        <v>4</v>
      </c>
      <c r="D128" s="43">
        <v>0</v>
      </c>
      <c r="E128" s="45">
        <f>IF(E$1&lt;=$C128,$D128/$C128,0)</f>
        <v>0</v>
      </c>
      <c r="F128" s="45">
        <f t="shared" ref="F128:U129" si="90">IF(F$1&lt;=$C128,$D128/$C128,0)</f>
        <v>0</v>
      </c>
      <c r="G128" s="45">
        <f t="shared" si="90"/>
        <v>0</v>
      </c>
      <c r="H128" s="45">
        <f t="shared" si="90"/>
        <v>0</v>
      </c>
      <c r="I128" s="45">
        <f t="shared" si="90"/>
        <v>0</v>
      </c>
      <c r="J128" s="45">
        <f t="shared" si="90"/>
        <v>0</v>
      </c>
      <c r="K128" s="45">
        <f t="shared" si="90"/>
        <v>0</v>
      </c>
      <c r="L128" s="45">
        <f t="shared" si="90"/>
        <v>0</v>
      </c>
      <c r="M128" s="45">
        <f t="shared" si="90"/>
        <v>0</v>
      </c>
      <c r="N128" s="45">
        <f t="shared" si="90"/>
        <v>0</v>
      </c>
      <c r="O128" s="45">
        <f t="shared" si="90"/>
        <v>0</v>
      </c>
      <c r="P128" s="45">
        <f t="shared" si="90"/>
        <v>0</v>
      </c>
      <c r="Q128" s="45">
        <f t="shared" si="90"/>
        <v>0</v>
      </c>
      <c r="R128" s="45">
        <f t="shared" si="90"/>
        <v>0</v>
      </c>
      <c r="S128" s="45">
        <f t="shared" si="90"/>
        <v>0</v>
      </c>
      <c r="T128" s="45">
        <f t="shared" si="90"/>
        <v>0</v>
      </c>
      <c r="U128" s="45">
        <f t="shared" si="90"/>
        <v>0</v>
      </c>
      <c r="V128" s="45">
        <f t="shared" ref="V128:X129" si="91">IF(V$1&lt;=$C128,$D128/$C128,0)</f>
        <v>0</v>
      </c>
      <c r="W128" s="45">
        <f t="shared" si="91"/>
        <v>0</v>
      </c>
      <c r="X128" s="45">
        <f t="shared" si="91"/>
        <v>0</v>
      </c>
    </row>
    <row r="129" spans="1:24" outlineLevel="1" x14ac:dyDescent="0.2">
      <c r="A129" s="43"/>
      <c r="B129" s="17" t="s">
        <v>69</v>
      </c>
      <c r="C129">
        <f>+$A$17</f>
        <v>4</v>
      </c>
      <c r="D129" s="43">
        <v>2800000</v>
      </c>
      <c r="E129" s="45">
        <f>IF(E$1&lt;=$C129,$D129/$C129,0)</f>
        <v>700000</v>
      </c>
      <c r="F129" s="45">
        <f t="shared" si="90"/>
        <v>700000</v>
      </c>
      <c r="G129" s="45">
        <f t="shared" si="90"/>
        <v>700000</v>
      </c>
      <c r="H129" s="45">
        <f t="shared" si="90"/>
        <v>700000</v>
      </c>
      <c r="I129" s="45">
        <f t="shared" si="90"/>
        <v>0</v>
      </c>
      <c r="J129" s="45">
        <f t="shared" si="90"/>
        <v>0</v>
      </c>
      <c r="K129" s="45">
        <f t="shared" si="90"/>
        <v>0</v>
      </c>
      <c r="L129" s="45">
        <f t="shared" si="90"/>
        <v>0</v>
      </c>
      <c r="M129" s="45">
        <f t="shared" si="90"/>
        <v>0</v>
      </c>
      <c r="N129" s="45">
        <f t="shared" si="90"/>
        <v>0</v>
      </c>
      <c r="O129" s="45">
        <f t="shared" si="90"/>
        <v>0</v>
      </c>
      <c r="P129" s="45">
        <f t="shared" si="90"/>
        <v>0</v>
      </c>
      <c r="Q129" s="45">
        <f t="shared" si="90"/>
        <v>0</v>
      </c>
      <c r="R129" s="45">
        <f t="shared" si="90"/>
        <v>0</v>
      </c>
      <c r="S129" s="45">
        <f t="shared" si="90"/>
        <v>0</v>
      </c>
      <c r="T129" s="45">
        <f t="shared" si="90"/>
        <v>0</v>
      </c>
      <c r="U129" s="45">
        <f t="shared" si="90"/>
        <v>0</v>
      </c>
      <c r="V129" s="45">
        <f t="shared" si="91"/>
        <v>0</v>
      </c>
      <c r="W129" s="45">
        <f t="shared" si="91"/>
        <v>0</v>
      </c>
      <c r="X129" s="45">
        <f t="shared" si="91"/>
        <v>0</v>
      </c>
    </row>
    <row r="130" spans="1:24" outlineLevel="1" x14ac:dyDescent="0.2"/>
    <row r="131" spans="1:24" outlineLevel="1" x14ac:dyDescent="0.2">
      <c r="B131" s="41" t="s">
        <v>70</v>
      </c>
      <c r="D131" s="48">
        <f>+SUM(D128:D129)</f>
        <v>2800000</v>
      </c>
      <c r="E131" s="47">
        <f>+D131-SUM(E128:E129)</f>
        <v>2100000</v>
      </c>
      <c r="F131" s="47">
        <f t="shared" ref="F131:X131" si="92">+E131-SUM(F128:F129)</f>
        <v>1400000</v>
      </c>
      <c r="G131" s="47">
        <f t="shared" si="92"/>
        <v>700000</v>
      </c>
      <c r="H131" s="47">
        <f t="shared" si="92"/>
        <v>0</v>
      </c>
      <c r="I131" s="47">
        <f t="shared" si="92"/>
        <v>0</v>
      </c>
      <c r="J131" s="47">
        <f t="shared" si="92"/>
        <v>0</v>
      </c>
      <c r="K131" s="47">
        <f t="shared" si="92"/>
        <v>0</v>
      </c>
      <c r="L131" s="47">
        <f t="shared" si="92"/>
        <v>0</v>
      </c>
      <c r="M131" s="47">
        <f t="shared" si="92"/>
        <v>0</v>
      </c>
      <c r="N131" s="47">
        <f t="shared" si="92"/>
        <v>0</v>
      </c>
      <c r="O131" s="47">
        <f t="shared" si="92"/>
        <v>0</v>
      </c>
      <c r="P131" s="47">
        <f t="shared" si="92"/>
        <v>0</v>
      </c>
      <c r="Q131" s="47">
        <f t="shared" si="92"/>
        <v>0</v>
      </c>
      <c r="R131" s="47">
        <f t="shared" si="92"/>
        <v>0</v>
      </c>
      <c r="S131" s="47">
        <f t="shared" si="92"/>
        <v>0</v>
      </c>
      <c r="T131" s="47">
        <f t="shared" si="92"/>
        <v>0</v>
      </c>
      <c r="U131" s="47">
        <f t="shared" si="92"/>
        <v>0</v>
      </c>
      <c r="V131" s="47">
        <f t="shared" si="92"/>
        <v>0</v>
      </c>
      <c r="W131" s="47">
        <f t="shared" si="92"/>
        <v>0</v>
      </c>
      <c r="X131" s="47">
        <f t="shared" si="92"/>
        <v>0</v>
      </c>
    </row>
    <row r="132" spans="1:24" outlineLevel="1" x14ac:dyDescent="0.2"/>
    <row r="133" spans="1:24" outlineLevel="1" x14ac:dyDescent="0.2"/>
    <row r="135" spans="1:24" ht="18.75" x14ac:dyDescent="0.3">
      <c r="B135" s="10" t="s">
        <v>71</v>
      </c>
    </row>
    <row r="138" spans="1:24" ht="15" x14ac:dyDescent="0.25">
      <c r="B138" s="49" t="s">
        <v>72</v>
      </c>
      <c r="E138" s="25"/>
      <c r="F138" s="25"/>
      <c r="G138" s="25"/>
      <c r="H138" s="25"/>
      <c r="I138" s="25"/>
      <c r="J138" s="25"/>
      <c r="K138" s="25"/>
      <c r="L138" s="25"/>
      <c r="M138" s="25"/>
      <c r="N138" s="25"/>
    </row>
    <row r="139" spans="1:24" ht="9" customHeight="1" x14ac:dyDescent="0.2"/>
    <row r="140" spans="1:24" outlineLevel="1" x14ac:dyDescent="0.2">
      <c r="B140" t="s">
        <v>73</v>
      </c>
      <c r="C140" s="14"/>
      <c r="D140" s="14"/>
      <c r="E140" s="25">
        <f>+E34*E38</f>
        <v>313500000</v>
      </c>
      <c r="F140" s="25">
        <f t="shared" ref="F140:X140" si="93">+F34*F38</f>
        <v>339050250</v>
      </c>
      <c r="G140" s="25">
        <f t="shared" si="93"/>
        <v>373802900.625</v>
      </c>
      <c r="H140" s="25">
        <f t="shared" si="93"/>
        <v>412117697.93906254</v>
      </c>
      <c r="I140" s="25">
        <f t="shared" si="93"/>
        <v>0</v>
      </c>
      <c r="J140" s="25">
        <f t="shared" si="93"/>
        <v>0</v>
      </c>
      <c r="K140" s="25">
        <f t="shared" si="93"/>
        <v>0</v>
      </c>
      <c r="L140" s="25">
        <f t="shared" si="93"/>
        <v>0</v>
      </c>
      <c r="M140" s="25">
        <f t="shared" si="93"/>
        <v>0</v>
      </c>
      <c r="N140" s="25">
        <f t="shared" si="93"/>
        <v>0</v>
      </c>
      <c r="O140" s="25">
        <f t="shared" si="93"/>
        <v>0</v>
      </c>
      <c r="P140" s="25">
        <f t="shared" si="93"/>
        <v>0</v>
      </c>
      <c r="Q140" s="25">
        <f t="shared" si="93"/>
        <v>0</v>
      </c>
      <c r="R140" s="25">
        <f t="shared" si="93"/>
        <v>0</v>
      </c>
      <c r="S140" s="25">
        <f t="shared" si="93"/>
        <v>0</v>
      </c>
      <c r="T140" s="25">
        <f t="shared" si="93"/>
        <v>0</v>
      </c>
      <c r="U140" s="25">
        <f t="shared" si="93"/>
        <v>0</v>
      </c>
      <c r="V140" s="25">
        <f t="shared" si="93"/>
        <v>0</v>
      </c>
      <c r="W140" s="25">
        <f t="shared" si="93"/>
        <v>0</v>
      </c>
      <c r="X140" s="25">
        <f t="shared" si="93"/>
        <v>0</v>
      </c>
    </row>
    <row r="141" spans="1:24" ht="9" customHeight="1" outlineLevel="1" x14ac:dyDescent="0.2">
      <c r="E141" s="25"/>
      <c r="F141" s="25"/>
      <c r="G141" s="25"/>
      <c r="H141" s="25"/>
      <c r="I141" s="25"/>
      <c r="J141" s="25"/>
      <c r="K141" s="25"/>
      <c r="L141" s="25"/>
      <c r="M141" s="25"/>
      <c r="N141" s="25"/>
      <c r="O141" s="25"/>
      <c r="P141" s="25"/>
      <c r="Q141" s="25"/>
      <c r="R141" s="25"/>
      <c r="S141" s="25"/>
      <c r="T141" s="25"/>
      <c r="U141" s="25"/>
      <c r="V141" s="25"/>
      <c r="W141" s="25"/>
      <c r="X141" s="25"/>
    </row>
    <row r="142" spans="1:24" outlineLevel="1" x14ac:dyDescent="0.2">
      <c r="B142" t="s">
        <v>74</v>
      </c>
      <c r="C142" s="14"/>
      <c r="D142" s="14"/>
      <c r="E142" s="25">
        <f>+E34*-E42</f>
        <v>-29377000</v>
      </c>
      <c r="F142" s="25">
        <f t="shared" ref="F142:X142" si="94">+F34*-F42</f>
        <v>-31511004.034000002</v>
      </c>
      <c r="G142" s="25">
        <f t="shared" si="94"/>
        <v>-34456337.581057981</v>
      </c>
      <c r="H142" s="25">
        <f t="shared" si="94"/>
        <v>-37676971.454759479</v>
      </c>
      <c r="I142" s="25">
        <f t="shared" si="94"/>
        <v>0</v>
      </c>
      <c r="J142" s="25">
        <f t="shared" si="94"/>
        <v>0</v>
      </c>
      <c r="K142" s="25">
        <f t="shared" si="94"/>
        <v>0</v>
      </c>
      <c r="L142" s="25">
        <f t="shared" si="94"/>
        <v>0</v>
      </c>
      <c r="M142" s="25">
        <f t="shared" si="94"/>
        <v>0</v>
      </c>
      <c r="N142" s="25">
        <f t="shared" si="94"/>
        <v>0</v>
      </c>
      <c r="O142" s="25">
        <f t="shared" si="94"/>
        <v>0</v>
      </c>
      <c r="P142" s="25">
        <f t="shared" si="94"/>
        <v>0</v>
      </c>
      <c r="Q142" s="25">
        <f t="shared" si="94"/>
        <v>0</v>
      </c>
      <c r="R142" s="25">
        <f t="shared" si="94"/>
        <v>0</v>
      </c>
      <c r="S142" s="25">
        <f t="shared" si="94"/>
        <v>0</v>
      </c>
      <c r="T142" s="25">
        <f t="shared" si="94"/>
        <v>0</v>
      </c>
      <c r="U142" s="25">
        <f t="shared" si="94"/>
        <v>0</v>
      </c>
      <c r="V142" s="25">
        <f t="shared" si="94"/>
        <v>0</v>
      </c>
      <c r="W142" s="25">
        <f t="shared" si="94"/>
        <v>0</v>
      </c>
      <c r="X142" s="25">
        <f t="shared" si="94"/>
        <v>0</v>
      </c>
    </row>
    <row r="143" spans="1:24" ht="9" customHeight="1" outlineLevel="1" x14ac:dyDescent="0.2">
      <c r="E143" s="25"/>
      <c r="F143" s="25"/>
      <c r="G143" s="25"/>
      <c r="H143" s="25"/>
      <c r="I143" s="25"/>
      <c r="J143" s="25"/>
      <c r="K143" s="25"/>
      <c r="L143" s="25"/>
      <c r="M143" s="25"/>
      <c r="N143" s="25"/>
      <c r="O143" s="25"/>
      <c r="P143" s="25"/>
      <c r="Q143" s="25"/>
      <c r="R143" s="25"/>
      <c r="S143" s="25"/>
      <c r="T143" s="25"/>
      <c r="U143" s="25"/>
      <c r="V143" s="25"/>
      <c r="W143" s="25"/>
      <c r="X143" s="25"/>
    </row>
    <row r="144" spans="1:24" outlineLevel="1" x14ac:dyDescent="0.2">
      <c r="B144" s="50" t="s">
        <v>75</v>
      </c>
      <c r="C144" s="14"/>
      <c r="D144" s="14"/>
      <c r="E144" s="51">
        <f>+E140+E142</f>
        <v>284123000</v>
      </c>
      <c r="F144" s="51">
        <f t="shared" ref="F144:X144" si="95">+F140+F142</f>
        <v>307539245.96600002</v>
      </c>
      <c r="G144" s="51">
        <f t="shared" si="95"/>
        <v>339346563.04394203</v>
      </c>
      <c r="H144" s="51">
        <f t="shared" si="95"/>
        <v>374440726.48430306</v>
      </c>
      <c r="I144" s="51">
        <f t="shared" si="95"/>
        <v>0</v>
      </c>
      <c r="J144" s="51">
        <f t="shared" si="95"/>
        <v>0</v>
      </c>
      <c r="K144" s="51">
        <f t="shared" si="95"/>
        <v>0</v>
      </c>
      <c r="L144" s="51">
        <f t="shared" si="95"/>
        <v>0</v>
      </c>
      <c r="M144" s="51">
        <f t="shared" si="95"/>
        <v>0</v>
      </c>
      <c r="N144" s="51">
        <f t="shared" si="95"/>
        <v>0</v>
      </c>
      <c r="O144" s="51">
        <f t="shared" si="95"/>
        <v>0</v>
      </c>
      <c r="P144" s="51">
        <f t="shared" si="95"/>
        <v>0</v>
      </c>
      <c r="Q144" s="51">
        <f t="shared" si="95"/>
        <v>0</v>
      </c>
      <c r="R144" s="51">
        <f t="shared" si="95"/>
        <v>0</v>
      </c>
      <c r="S144" s="51">
        <f t="shared" si="95"/>
        <v>0</v>
      </c>
      <c r="T144" s="51">
        <f t="shared" si="95"/>
        <v>0</v>
      </c>
      <c r="U144" s="51">
        <f t="shared" si="95"/>
        <v>0</v>
      </c>
      <c r="V144" s="51">
        <f t="shared" si="95"/>
        <v>0</v>
      </c>
      <c r="W144" s="51">
        <f t="shared" si="95"/>
        <v>0</v>
      </c>
      <c r="X144" s="51">
        <f t="shared" si="95"/>
        <v>0</v>
      </c>
    </row>
    <row r="145" spans="2:24" outlineLevel="1" x14ac:dyDescent="0.2">
      <c r="E145" s="25"/>
      <c r="F145" s="25"/>
      <c r="G145" s="25"/>
      <c r="H145" s="25"/>
      <c r="I145" s="25"/>
      <c r="J145" s="25"/>
      <c r="K145" s="25"/>
      <c r="L145" s="25"/>
      <c r="M145" s="25"/>
      <c r="N145" s="25"/>
      <c r="O145" s="25"/>
      <c r="P145" s="25"/>
      <c r="Q145" s="25"/>
      <c r="R145" s="25"/>
      <c r="S145" s="25"/>
      <c r="T145" s="25"/>
      <c r="U145" s="25"/>
      <c r="V145" s="25"/>
      <c r="W145" s="25"/>
      <c r="X145" s="25"/>
    </row>
    <row r="146" spans="2:24" outlineLevel="1" x14ac:dyDescent="0.2">
      <c r="B146" t="s">
        <v>76</v>
      </c>
      <c r="C146" s="14"/>
      <c r="D146" s="14"/>
      <c r="E146" s="25">
        <f>-E107+E104</f>
        <v>-159025840</v>
      </c>
      <c r="F146" s="25">
        <f t="shared" ref="F146:X146" si="96">-F107+F104</f>
        <v>-165386873.59999999</v>
      </c>
      <c r="G146" s="25">
        <f t="shared" si="96"/>
        <v>-172002348.54399997</v>
      </c>
      <c r="H146" s="25">
        <f t="shared" si="96"/>
        <v>-178882442.48575997</v>
      </c>
      <c r="I146" s="25">
        <f t="shared" si="96"/>
        <v>0</v>
      </c>
      <c r="J146" s="25">
        <f t="shared" si="96"/>
        <v>0</v>
      </c>
      <c r="K146" s="25">
        <f t="shared" si="96"/>
        <v>0</v>
      </c>
      <c r="L146" s="25">
        <f t="shared" si="96"/>
        <v>0</v>
      </c>
      <c r="M146" s="25">
        <f t="shared" si="96"/>
        <v>0</v>
      </c>
      <c r="N146" s="25">
        <f t="shared" si="96"/>
        <v>0</v>
      </c>
      <c r="O146" s="25">
        <f t="shared" si="96"/>
        <v>0</v>
      </c>
      <c r="P146" s="25">
        <f t="shared" si="96"/>
        <v>0</v>
      </c>
      <c r="Q146" s="25">
        <f t="shared" si="96"/>
        <v>0</v>
      </c>
      <c r="R146" s="25">
        <f t="shared" si="96"/>
        <v>0</v>
      </c>
      <c r="S146" s="25">
        <f t="shared" si="96"/>
        <v>0</v>
      </c>
      <c r="T146" s="25">
        <f t="shared" si="96"/>
        <v>0</v>
      </c>
      <c r="U146" s="25">
        <f t="shared" si="96"/>
        <v>0</v>
      </c>
      <c r="V146" s="25">
        <f t="shared" si="96"/>
        <v>0</v>
      </c>
      <c r="W146" s="25">
        <f t="shared" si="96"/>
        <v>0</v>
      </c>
      <c r="X146" s="25">
        <f t="shared" si="96"/>
        <v>0</v>
      </c>
    </row>
    <row r="147" spans="2:24" outlineLevel="1" x14ac:dyDescent="0.2">
      <c r="B147" t="s">
        <v>77</v>
      </c>
      <c r="C147" s="14"/>
      <c r="D147" s="14"/>
      <c r="E147" s="25">
        <f>-E104-E128-E129</f>
        <v>-5088000</v>
      </c>
      <c r="F147" s="25">
        <f t="shared" ref="F147:N147" si="97">-F104-F128-F129</f>
        <v>-5088000</v>
      </c>
      <c r="G147" s="25">
        <f t="shared" si="97"/>
        <v>-5088000</v>
      </c>
      <c r="H147" s="25">
        <f t="shared" si="97"/>
        <v>-5088000</v>
      </c>
      <c r="I147" s="25">
        <f t="shared" si="97"/>
        <v>-4388000</v>
      </c>
      <c r="J147" s="25">
        <f t="shared" si="97"/>
        <v>-3000000</v>
      </c>
      <c r="K147" s="25">
        <f t="shared" si="97"/>
        <v>-3000000</v>
      </c>
      <c r="L147" s="25">
        <f t="shared" si="97"/>
        <v>-3000000</v>
      </c>
      <c r="M147" s="25">
        <f t="shared" si="97"/>
        <v>-3000000</v>
      </c>
      <c r="N147" s="25">
        <f t="shared" si="97"/>
        <v>-3000000</v>
      </c>
      <c r="O147" s="25">
        <f>-O104-O128-O129</f>
        <v>0</v>
      </c>
      <c r="P147" s="25">
        <f t="shared" ref="P147:X147" si="98">-P104-P128-P129</f>
        <v>0</v>
      </c>
      <c r="Q147" s="25">
        <f t="shared" si="98"/>
        <v>0</v>
      </c>
      <c r="R147" s="25">
        <f t="shared" si="98"/>
        <v>0</v>
      </c>
      <c r="S147" s="25">
        <f t="shared" si="98"/>
        <v>0</v>
      </c>
      <c r="T147" s="25">
        <f t="shared" si="98"/>
        <v>0</v>
      </c>
      <c r="U147" s="25">
        <f t="shared" si="98"/>
        <v>0</v>
      </c>
      <c r="V147" s="25">
        <f t="shared" si="98"/>
        <v>0</v>
      </c>
      <c r="W147" s="25">
        <f t="shared" si="98"/>
        <v>0</v>
      </c>
      <c r="X147" s="25">
        <f t="shared" si="98"/>
        <v>0</v>
      </c>
    </row>
    <row r="148" spans="2:24" outlineLevel="1" x14ac:dyDescent="0.2">
      <c r="C148" s="14"/>
      <c r="D148" s="14"/>
      <c r="E148" s="25"/>
      <c r="F148" s="25"/>
      <c r="G148" s="25"/>
      <c r="H148" s="25"/>
      <c r="I148" s="25"/>
      <c r="J148" s="25"/>
      <c r="K148" s="25"/>
      <c r="L148" s="25"/>
      <c r="M148" s="25"/>
      <c r="N148" s="25"/>
      <c r="O148" s="25"/>
      <c r="P148" s="25"/>
      <c r="Q148" s="25"/>
      <c r="R148" s="25"/>
      <c r="S148" s="25"/>
      <c r="T148" s="25"/>
      <c r="U148" s="25"/>
      <c r="V148" s="25"/>
      <c r="W148" s="25"/>
      <c r="X148" s="25"/>
    </row>
    <row r="149" spans="2:24" outlineLevel="1" x14ac:dyDescent="0.2">
      <c r="E149" s="25"/>
      <c r="F149" s="25"/>
      <c r="G149" s="25"/>
      <c r="H149" s="25"/>
      <c r="I149" s="25"/>
      <c r="J149" s="25"/>
      <c r="K149" s="25"/>
      <c r="L149" s="25"/>
      <c r="M149" s="25"/>
      <c r="N149" s="25"/>
      <c r="O149" s="25"/>
      <c r="P149" s="25"/>
      <c r="Q149" s="25"/>
      <c r="R149" s="25"/>
      <c r="S149" s="25"/>
      <c r="T149" s="25"/>
      <c r="U149" s="25"/>
      <c r="V149" s="25"/>
      <c r="W149" s="25"/>
      <c r="X149" s="25"/>
    </row>
    <row r="150" spans="2:24" outlineLevel="1" x14ac:dyDescent="0.2">
      <c r="B150" s="50" t="s">
        <v>78</v>
      </c>
      <c r="C150" s="14"/>
      <c r="D150" s="14"/>
      <c r="E150" s="51">
        <f>+E144+E146+E147+E148</f>
        <v>120009160</v>
      </c>
      <c r="F150" s="51">
        <f t="shared" ref="F150:X150" si="99">+F144+F146+F147+F148</f>
        <v>137064372.36600003</v>
      </c>
      <c r="G150" s="51">
        <f t="shared" si="99"/>
        <v>162256214.49994206</v>
      </c>
      <c r="H150" s="51">
        <f t="shared" si="99"/>
        <v>190470283.99854308</v>
      </c>
      <c r="I150" s="51">
        <f t="shared" si="99"/>
        <v>-4388000</v>
      </c>
      <c r="J150" s="51">
        <f t="shared" si="99"/>
        <v>-3000000</v>
      </c>
      <c r="K150" s="51">
        <f t="shared" si="99"/>
        <v>-3000000</v>
      </c>
      <c r="L150" s="51">
        <f t="shared" si="99"/>
        <v>-3000000</v>
      </c>
      <c r="M150" s="51">
        <f t="shared" si="99"/>
        <v>-3000000</v>
      </c>
      <c r="N150" s="51">
        <f t="shared" si="99"/>
        <v>-3000000</v>
      </c>
      <c r="O150" s="51">
        <f t="shared" si="99"/>
        <v>0</v>
      </c>
      <c r="P150" s="51">
        <f t="shared" si="99"/>
        <v>0</v>
      </c>
      <c r="Q150" s="51">
        <f t="shared" si="99"/>
        <v>0</v>
      </c>
      <c r="R150" s="51">
        <f t="shared" si="99"/>
        <v>0</v>
      </c>
      <c r="S150" s="51">
        <f t="shared" si="99"/>
        <v>0</v>
      </c>
      <c r="T150" s="51">
        <f t="shared" si="99"/>
        <v>0</v>
      </c>
      <c r="U150" s="51">
        <f t="shared" si="99"/>
        <v>0</v>
      </c>
      <c r="V150" s="51">
        <f t="shared" si="99"/>
        <v>0</v>
      </c>
      <c r="W150" s="51">
        <f t="shared" si="99"/>
        <v>0</v>
      </c>
      <c r="X150" s="51">
        <f t="shared" si="99"/>
        <v>0</v>
      </c>
    </row>
    <row r="151" spans="2:24" outlineLevel="1" x14ac:dyDescent="0.2">
      <c r="E151" s="25"/>
      <c r="F151" s="25"/>
      <c r="G151" s="25"/>
      <c r="H151" s="25"/>
      <c r="I151" s="25"/>
      <c r="J151" s="25"/>
      <c r="K151" s="25"/>
      <c r="L151" s="25"/>
      <c r="M151" s="25"/>
      <c r="N151" s="25"/>
      <c r="O151" s="25"/>
      <c r="P151" s="25"/>
      <c r="Q151" s="25"/>
      <c r="R151" s="25"/>
      <c r="S151" s="25"/>
      <c r="T151" s="25"/>
      <c r="U151" s="25"/>
      <c r="V151" s="25"/>
      <c r="W151" s="25"/>
      <c r="X151" s="25"/>
    </row>
    <row r="152" spans="2:24" outlineLevel="1" x14ac:dyDescent="0.2">
      <c r="B152" s="50" t="s">
        <v>79</v>
      </c>
      <c r="C152" s="14"/>
      <c r="D152" s="14"/>
      <c r="E152" s="51">
        <f>+E150-E147</f>
        <v>125097160</v>
      </c>
      <c r="F152" s="51">
        <f t="shared" ref="F152:X152" si="100">+F150-F147</f>
        <v>142152372.36600003</v>
      </c>
      <c r="G152" s="51">
        <f t="shared" si="100"/>
        <v>167344214.49994206</v>
      </c>
      <c r="H152" s="51">
        <f t="shared" si="100"/>
        <v>195558283.99854308</v>
      </c>
      <c r="I152" s="51">
        <f t="shared" si="100"/>
        <v>0</v>
      </c>
      <c r="J152" s="51">
        <f t="shared" si="100"/>
        <v>0</v>
      </c>
      <c r="K152" s="51">
        <f t="shared" si="100"/>
        <v>0</v>
      </c>
      <c r="L152" s="51">
        <f t="shared" si="100"/>
        <v>0</v>
      </c>
      <c r="M152" s="51">
        <f t="shared" si="100"/>
        <v>0</v>
      </c>
      <c r="N152" s="51">
        <f t="shared" si="100"/>
        <v>0</v>
      </c>
      <c r="O152" s="51">
        <f t="shared" si="100"/>
        <v>0</v>
      </c>
      <c r="P152" s="51">
        <f t="shared" si="100"/>
        <v>0</v>
      </c>
      <c r="Q152" s="51">
        <f t="shared" si="100"/>
        <v>0</v>
      </c>
      <c r="R152" s="51">
        <f t="shared" si="100"/>
        <v>0</v>
      </c>
      <c r="S152" s="51">
        <f t="shared" si="100"/>
        <v>0</v>
      </c>
      <c r="T152" s="51">
        <f t="shared" si="100"/>
        <v>0</v>
      </c>
      <c r="U152" s="51">
        <f t="shared" si="100"/>
        <v>0</v>
      </c>
      <c r="V152" s="51">
        <f t="shared" si="100"/>
        <v>0</v>
      </c>
      <c r="W152" s="51">
        <f t="shared" si="100"/>
        <v>0</v>
      </c>
      <c r="X152" s="51">
        <f t="shared" si="100"/>
        <v>0</v>
      </c>
    </row>
    <row r="153" spans="2:24" outlineLevel="1" x14ac:dyDescent="0.2">
      <c r="E153" s="25"/>
      <c r="F153" s="25"/>
      <c r="G153" s="25"/>
      <c r="H153" s="25"/>
      <c r="I153" s="25"/>
      <c r="J153" s="25"/>
      <c r="K153" s="25"/>
      <c r="L153" s="25"/>
      <c r="M153" s="25"/>
      <c r="N153" s="25"/>
      <c r="O153" s="25"/>
      <c r="P153" s="25"/>
      <c r="Q153" s="25"/>
      <c r="R153" s="25"/>
      <c r="S153" s="25"/>
      <c r="T153" s="25"/>
      <c r="U153" s="25"/>
      <c r="V153" s="25"/>
      <c r="W153" s="25"/>
      <c r="X153" s="25"/>
    </row>
    <row r="154" spans="2:24" outlineLevel="1" x14ac:dyDescent="0.2">
      <c r="B154" t="s">
        <v>80</v>
      </c>
      <c r="C154" s="14"/>
      <c r="D154" s="14"/>
      <c r="E154" s="25">
        <f>+E155</f>
        <v>0</v>
      </c>
      <c r="F154" s="25">
        <f t="shared" ref="F154:X154" si="101">+F155</f>
        <v>0</v>
      </c>
      <c r="G154" s="25">
        <f t="shared" si="101"/>
        <v>0</v>
      </c>
      <c r="H154" s="25">
        <f t="shared" si="101"/>
        <v>0</v>
      </c>
      <c r="I154" s="25">
        <f t="shared" si="101"/>
        <v>0</v>
      </c>
      <c r="J154" s="25">
        <f t="shared" si="101"/>
        <v>0</v>
      </c>
      <c r="K154" s="25">
        <f t="shared" si="101"/>
        <v>0</v>
      </c>
      <c r="L154" s="25">
        <f t="shared" si="101"/>
        <v>0</v>
      </c>
      <c r="M154" s="25">
        <f t="shared" si="101"/>
        <v>0</v>
      </c>
      <c r="N154" s="25">
        <f t="shared" si="101"/>
        <v>0</v>
      </c>
      <c r="O154" s="25">
        <f t="shared" si="101"/>
        <v>0</v>
      </c>
      <c r="P154" s="25">
        <f t="shared" si="101"/>
        <v>0</v>
      </c>
      <c r="Q154" s="25">
        <f t="shared" si="101"/>
        <v>0</v>
      </c>
      <c r="R154" s="25">
        <f t="shared" si="101"/>
        <v>0</v>
      </c>
      <c r="S154" s="25">
        <f t="shared" si="101"/>
        <v>0</v>
      </c>
      <c r="T154" s="25">
        <f t="shared" si="101"/>
        <v>0</v>
      </c>
      <c r="U154" s="25">
        <f t="shared" si="101"/>
        <v>0</v>
      </c>
      <c r="V154" s="25">
        <f t="shared" si="101"/>
        <v>0</v>
      </c>
      <c r="W154" s="25">
        <f t="shared" si="101"/>
        <v>0</v>
      </c>
      <c r="X154" s="25">
        <f t="shared" si="101"/>
        <v>0</v>
      </c>
    </row>
    <row r="155" spans="2:24" outlineLevel="1" x14ac:dyDescent="0.2">
      <c r="B155" t="s">
        <v>81</v>
      </c>
      <c r="C155" s="14"/>
      <c r="D155" s="14"/>
      <c r="E155" s="25">
        <f>-E125</f>
        <v>0</v>
      </c>
      <c r="F155" s="25">
        <f t="shared" ref="F155:X155" si="102">-F125</f>
        <v>0</v>
      </c>
      <c r="G155" s="25">
        <f t="shared" si="102"/>
        <v>0</v>
      </c>
      <c r="H155" s="25">
        <f t="shared" si="102"/>
        <v>0</v>
      </c>
      <c r="I155" s="25">
        <f t="shared" si="102"/>
        <v>0</v>
      </c>
      <c r="J155" s="25">
        <f t="shared" si="102"/>
        <v>0</v>
      </c>
      <c r="K155" s="25">
        <f t="shared" si="102"/>
        <v>0</v>
      </c>
      <c r="L155" s="25">
        <f t="shared" si="102"/>
        <v>0</v>
      </c>
      <c r="M155" s="25">
        <f t="shared" si="102"/>
        <v>0</v>
      </c>
      <c r="N155" s="25">
        <f t="shared" si="102"/>
        <v>0</v>
      </c>
      <c r="O155" s="25">
        <f t="shared" si="102"/>
        <v>0</v>
      </c>
      <c r="P155" s="25">
        <f t="shared" si="102"/>
        <v>0</v>
      </c>
      <c r="Q155" s="25">
        <f t="shared" si="102"/>
        <v>0</v>
      </c>
      <c r="R155" s="25">
        <f t="shared" si="102"/>
        <v>0</v>
      </c>
      <c r="S155" s="25">
        <f t="shared" si="102"/>
        <v>0</v>
      </c>
      <c r="T155" s="25">
        <f t="shared" si="102"/>
        <v>0</v>
      </c>
      <c r="U155" s="25">
        <f t="shared" si="102"/>
        <v>0</v>
      </c>
      <c r="V155" s="25">
        <f t="shared" si="102"/>
        <v>0</v>
      </c>
      <c r="W155" s="25">
        <f t="shared" si="102"/>
        <v>0</v>
      </c>
      <c r="X155" s="25">
        <f t="shared" si="102"/>
        <v>0</v>
      </c>
    </row>
    <row r="156" spans="2:24" outlineLevel="1" x14ac:dyDescent="0.2">
      <c r="E156" s="25"/>
      <c r="F156" s="25"/>
      <c r="G156" s="25"/>
      <c r="H156" s="25"/>
      <c r="I156" s="25"/>
      <c r="J156" s="25"/>
      <c r="K156" s="25"/>
      <c r="L156" s="25"/>
      <c r="M156" s="25"/>
      <c r="N156" s="25"/>
      <c r="O156" s="25"/>
      <c r="P156" s="25"/>
      <c r="Q156" s="25"/>
      <c r="R156" s="25"/>
      <c r="S156" s="25"/>
      <c r="T156" s="25"/>
      <c r="U156" s="25"/>
      <c r="V156" s="25"/>
      <c r="W156" s="25"/>
      <c r="X156" s="25"/>
    </row>
    <row r="157" spans="2:24" outlineLevel="1" x14ac:dyDescent="0.2">
      <c r="B157" t="s">
        <v>82</v>
      </c>
      <c r="C157" s="14"/>
      <c r="D157" s="14"/>
      <c r="E157" s="25">
        <f>+E158</f>
        <v>3522705.8707791581</v>
      </c>
      <c r="F157" s="25">
        <f t="shared" ref="F157:X157" si="103">+F158</f>
        <v>3324535.4451836902</v>
      </c>
      <c r="G157" s="25">
        <f t="shared" si="103"/>
        <v>3098621.1600048575</v>
      </c>
      <c r="H157" s="25">
        <f t="shared" si="103"/>
        <v>2841078.8749009874</v>
      </c>
      <c r="I157" s="25">
        <f t="shared" si="103"/>
        <v>2547480.669882576</v>
      </c>
      <c r="J157" s="25">
        <f t="shared" si="103"/>
        <v>2212778.7161615877</v>
      </c>
      <c r="K157" s="25">
        <f t="shared" si="103"/>
        <v>1831218.4889196616</v>
      </c>
      <c r="L157" s="25">
        <f t="shared" si="103"/>
        <v>1396239.8298638656</v>
      </c>
      <c r="M157" s="25">
        <f t="shared" si="103"/>
        <v>900364.15854025877</v>
      </c>
      <c r="N157" s="25">
        <f t="shared" si="103"/>
        <v>335065.89323134779</v>
      </c>
      <c r="O157" s="25">
        <f t="shared" si="103"/>
        <v>0</v>
      </c>
      <c r="P157" s="25">
        <f t="shared" si="103"/>
        <v>0</v>
      </c>
      <c r="Q157" s="25">
        <f t="shared" si="103"/>
        <v>0</v>
      </c>
      <c r="R157" s="25" t="e">
        <f t="shared" si="103"/>
        <v>#REF!</v>
      </c>
      <c r="S157" s="25" t="e">
        <f t="shared" si="103"/>
        <v>#REF!</v>
      </c>
      <c r="T157" s="25" t="e">
        <f t="shared" si="103"/>
        <v>#REF!</v>
      </c>
      <c r="U157" s="25" t="e">
        <f t="shared" si="103"/>
        <v>#REF!</v>
      </c>
      <c r="V157" s="25" t="e">
        <f t="shared" si="103"/>
        <v>#REF!</v>
      </c>
      <c r="W157" s="25" t="e">
        <f t="shared" si="103"/>
        <v>#REF!</v>
      </c>
      <c r="X157" s="25" t="e">
        <f t="shared" si="103"/>
        <v>#REF!</v>
      </c>
    </row>
    <row r="158" spans="2:24" outlineLevel="1" x14ac:dyDescent="0.2">
      <c r="B158" s="17" t="s">
        <v>83</v>
      </c>
      <c r="C158" s="14"/>
      <c r="D158" s="14"/>
      <c r="E158" s="25">
        <f>+'Tabla de Amortización'!L41</f>
        <v>3522705.8707791581</v>
      </c>
      <c r="F158" s="25">
        <f>+'Tabla de Amortización'!M41</f>
        <v>3324535.4451836902</v>
      </c>
      <c r="G158" s="25">
        <f>+'Tabla de Amortización'!N41</f>
        <v>3098621.1600048575</v>
      </c>
      <c r="H158" s="25">
        <f>+'Tabla de Amortización'!O41</f>
        <v>2841078.8749009874</v>
      </c>
      <c r="I158" s="25">
        <f>+'Tabla de Amortización'!P41</f>
        <v>2547480.669882576</v>
      </c>
      <c r="J158" s="25">
        <f>+'Tabla de Amortización'!Q41</f>
        <v>2212778.7161615877</v>
      </c>
      <c r="K158" s="25">
        <f>+'Tabla de Amortización'!R41</f>
        <v>1831218.4889196616</v>
      </c>
      <c r="L158" s="25">
        <f>+'Tabla de Amortización'!S41</f>
        <v>1396239.8298638656</v>
      </c>
      <c r="M158" s="25">
        <f>+'Tabla de Amortización'!T41</f>
        <v>900364.15854025877</v>
      </c>
      <c r="N158" s="25">
        <f>+'Tabla de Amortización'!U41</f>
        <v>335065.89323134779</v>
      </c>
      <c r="O158" s="25">
        <f>+'Tabla de Amortización'!V41</f>
        <v>0</v>
      </c>
      <c r="P158" s="25">
        <f>+'Tabla de Amortización'!W41</f>
        <v>0</v>
      </c>
      <c r="Q158" s="25">
        <f>+'Tabla de Amortización'!X41</f>
        <v>0</v>
      </c>
      <c r="R158" s="25" t="e">
        <f>-'[1]Tabla de Amortización'!Y41</f>
        <v>#REF!</v>
      </c>
      <c r="S158" s="25" t="e">
        <f>-'[1]Tabla de Amortización'!Z41</f>
        <v>#REF!</v>
      </c>
      <c r="T158" s="25" t="e">
        <f>-'[1]Tabla de Amortización'!AA41</f>
        <v>#REF!</v>
      </c>
      <c r="U158" s="25" t="e">
        <f>-'[1]Tabla de Amortización'!AB41</f>
        <v>#REF!</v>
      </c>
      <c r="V158" s="25" t="e">
        <f>-'[1]Tabla de Amortización'!AC41</f>
        <v>#REF!</v>
      </c>
      <c r="W158" s="25" t="e">
        <f>-'[1]Tabla de Amortización'!AD41</f>
        <v>#REF!</v>
      </c>
      <c r="X158" s="25" t="e">
        <f>-'[1]Tabla de Amortización'!AE41</f>
        <v>#REF!</v>
      </c>
    </row>
    <row r="159" spans="2:24" outlineLevel="1" x14ac:dyDescent="0.2">
      <c r="E159" s="25"/>
      <c r="F159" s="25"/>
      <c r="G159" s="25"/>
      <c r="H159" s="25"/>
      <c r="I159" s="25"/>
      <c r="J159" s="25"/>
      <c r="K159" s="25"/>
      <c r="L159" s="25"/>
      <c r="M159" s="25"/>
      <c r="N159" s="25"/>
      <c r="O159" s="25"/>
      <c r="P159" s="25"/>
      <c r="Q159" s="25"/>
      <c r="R159" s="25"/>
      <c r="S159" s="25"/>
      <c r="T159" s="25"/>
      <c r="U159" s="25"/>
      <c r="V159" s="25"/>
      <c r="W159" s="25"/>
      <c r="X159" s="25"/>
    </row>
    <row r="160" spans="2:24" outlineLevel="1" x14ac:dyDescent="0.2">
      <c r="B160" s="50" t="s">
        <v>84</v>
      </c>
      <c r="C160" s="14"/>
      <c r="D160" s="14"/>
      <c r="E160" s="51">
        <f>+E150+E154+E157</f>
        <v>123531865.87077916</v>
      </c>
      <c r="F160" s="51">
        <f t="shared" ref="F160:X160" si="104">+F150+F154+F157</f>
        <v>140388907.81118372</v>
      </c>
      <c r="G160" s="51">
        <f t="shared" si="104"/>
        <v>165354835.65994692</v>
      </c>
      <c r="H160" s="51">
        <f t="shared" si="104"/>
        <v>193311362.87344408</v>
      </c>
      <c r="I160" s="51">
        <f t="shared" si="104"/>
        <v>-1840519.330117424</v>
      </c>
      <c r="J160" s="51">
        <f t="shared" si="104"/>
        <v>-787221.28383841226</v>
      </c>
      <c r="K160" s="51">
        <f t="shared" si="104"/>
        <v>-1168781.5110803384</v>
      </c>
      <c r="L160" s="51">
        <f t="shared" si="104"/>
        <v>-1603760.1701361344</v>
      </c>
      <c r="M160" s="51">
        <f t="shared" si="104"/>
        <v>-2099635.8414597414</v>
      </c>
      <c r="N160" s="51">
        <f t="shared" si="104"/>
        <v>-2664934.1067686523</v>
      </c>
      <c r="O160" s="51">
        <f t="shared" si="104"/>
        <v>0</v>
      </c>
      <c r="P160" s="51">
        <f t="shared" si="104"/>
        <v>0</v>
      </c>
      <c r="Q160" s="51">
        <f t="shared" si="104"/>
        <v>0</v>
      </c>
      <c r="R160" s="51" t="e">
        <f t="shared" si="104"/>
        <v>#REF!</v>
      </c>
      <c r="S160" s="51" t="e">
        <f t="shared" si="104"/>
        <v>#REF!</v>
      </c>
      <c r="T160" s="51" t="e">
        <f t="shared" si="104"/>
        <v>#REF!</v>
      </c>
      <c r="U160" s="51" t="e">
        <f t="shared" si="104"/>
        <v>#REF!</v>
      </c>
      <c r="V160" s="51" t="e">
        <f t="shared" si="104"/>
        <v>#REF!</v>
      </c>
      <c r="W160" s="51" t="e">
        <f t="shared" si="104"/>
        <v>#REF!</v>
      </c>
      <c r="X160" s="51" t="e">
        <f t="shared" si="104"/>
        <v>#REF!</v>
      </c>
    </row>
    <row r="161" spans="2:24" outlineLevel="1" x14ac:dyDescent="0.2">
      <c r="E161" s="25"/>
      <c r="F161" s="25"/>
      <c r="G161" s="25"/>
      <c r="H161" s="25"/>
      <c r="I161" s="25"/>
      <c r="J161" s="25"/>
      <c r="K161" s="25"/>
      <c r="L161" s="25"/>
      <c r="M161" s="25"/>
      <c r="N161" s="25"/>
      <c r="O161" s="25"/>
      <c r="P161" s="25"/>
      <c r="Q161" s="25"/>
      <c r="R161" s="25"/>
      <c r="S161" s="25"/>
      <c r="T161" s="25"/>
      <c r="U161" s="25"/>
      <c r="V161" s="25"/>
      <c r="W161" s="25"/>
      <c r="X161" s="25"/>
    </row>
    <row r="162" spans="2:24" outlineLevel="1" x14ac:dyDescent="0.2">
      <c r="B162" t="s">
        <v>85</v>
      </c>
      <c r="C162" s="14"/>
      <c r="D162" s="14"/>
      <c r="E162" s="25">
        <f>+IF(E160&gt;0,-E160*E$28,0)</f>
        <v>-42000834.396064915</v>
      </c>
      <c r="F162" s="25">
        <f t="shared" ref="F162:X162" si="105">+IF(F160&gt;0,-F160*F$28,0)</f>
        <v>-47732228.655802466</v>
      </c>
      <c r="G162" s="25">
        <f t="shared" si="105"/>
        <v>-56220644.124381959</v>
      </c>
      <c r="H162" s="25">
        <f t="shared" si="105"/>
        <v>-65725863.376970991</v>
      </c>
      <c r="I162" s="25">
        <f t="shared" si="105"/>
        <v>0</v>
      </c>
      <c r="J162" s="25">
        <f t="shared" si="105"/>
        <v>0</v>
      </c>
      <c r="K162" s="25">
        <f t="shared" si="105"/>
        <v>0</v>
      </c>
      <c r="L162" s="25">
        <f t="shared" si="105"/>
        <v>0</v>
      </c>
      <c r="M162" s="25">
        <f t="shared" si="105"/>
        <v>0</v>
      </c>
      <c r="N162" s="25">
        <f t="shared" si="105"/>
        <v>0</v>
      </c>
      <c r="O162" s="25">
        <f t="shared" si="105"/>
        <v>0</v>
      </c>
      <c r="P162" s="25">
        <f t="shared" si="105"/>
        <v>0</v>
      </c>
      <c r="Q162" s="25">
        <f t="shared" si="105"/>
        <v>0</v>
      </c>
      <c r="R162" s="25" t="e">
        <f t="shared" si="105"/>
        <v>#REF!</v>
      </c>
      <c r="S162" s="25" t="e">
        <f t="shared" si="105"/>
        <v>#REF!</v>
      </c>
      <c r="T162" s="25" t="e">
        <f t="shared" si="105"/>
        <v>#REF!</v>
      </c>
      <c r="U162" s="25" t="e">
        <f t="shared" si="105"/>
        <v>#REF!</v>
      </c>
      <c r="V162" s="25" t="e">
        <f t="shared" si="105"/>
        <v>#REF!</v>
      </c>
      <c r="W162" s="25" t="e">
        <f t="shared" si="105"/>
        <v>#REF!</v>
      </c>
      <c r="X162" s="25" t="e">
        <f t="shared" si="105"/>
        <v>#REF!</v>
      </c>
    </row>
    <row r="163" spans="2:24" outlineLevel="1" x14ac:dyDescent="0.2">
      <c r="E163" s="29"/>
      <c r="F163" s="25"/>
      <c r="G163" s="25"/>
      <c r="H163" s="25"/>
      <c r="I163" s="25"/>
      <c r="J163" s="25"/>
      <c r="K163" s="25"/>
      <c r="L163" s="25"/>
      <c r="M163" s="25"/>
      <c r="N163" s="25"/>
      <c r="O163" s="25"/>
      <c r="P163" s="25"/>
      <c r="Q163" s="25"/>
      <c r="R163" s="25"/>
      <c r="S163" s="25"/>
      <c r="T163" s="25"/>
      <c r="U163" s="25"/>
      <c r="V163" s="25"/>
      <c r="W163" s="25"/>
      <c r="X163" s="25"/>
    </row>
    <row r="164" spans="2:24" outlineLevel="1" x14ac:dyDescent="0.2">
      <c r="B164" s="50" t="s">
        <v>86</v>
      </c>
      <c r="C164" s="14"/>
      <c r="D164" s="14"/>
      <c r="E164" s="51">
        <f>+E160+E162</f>
        <v>81531031.474714249</v>
      </c>
      <c r="F164" s="51">
        <f t="shared" ref="F164:X164" si="106">+F160+F162</f>
        <v>92656679.155381262</v>
      </c>
      <c r="G164" s="51">
        <f t="shared" si="106"/>
        <v>109134191.53556496</v>
      </c>
      <c r="H164" s="51">
        <f t="shared" si="106"/>
        <v>127585499.49647309</v>
      </c>
      <c r="I164" s="51">
        <f t="shared" si="106"/>
        <v>-1840519.330117424</v>
      </c>
      <c r="J164" s="51">
        <f t="shared" si="106"/>
        <v>-787221.28383841226</v>
      </c>
      <c r="K164" s="51">
        <f t="shared" si="106"/>
        <v>-1168781.5110803384</v>
      </c>
      <c r="L164" s="51">
        <f t="shared" si="106"/>
        <v>-1603760.1701361344</v>
      </c>
      <c r="M164" s="51">
        <f t="shared" si="106"/>
        <v>-2099635.8414597414</v>
      </c>
      <c r="N164" s="51">
        <f t="shared" si="106"/>
        <v>-2664934.1067686523</v>
      </c>
      <c r="O164" s="51">
        <f t="shared" si="106"/>
        <v>0</v>
      </c>
      <c r="P164" s="51">
        <f t="shared" si="106"/>
        <v>0</v>
      </c>
      <c r="Q164" s="51">
        <f t="shared" si="106"/>
        <v>0</v>
      </c>
      <c r="R164" s="51" t="e">
        <f t="shared" si="106"/>
        <v>#REF!</v>
      </c>
      <c r="S164" s="51" t="e">
        <f t="shared" si="106"/>
        <v>#REF!</v>
      </c>
      <c r="T164" s="51" t="e">
        <f t="shared" si="106"/>
        <v>#REF!</v>
      </c>
      <c r="U164" s="51" t="e">
        <f t="shared" si="106"/>
        <v>#REF!</v>
      </c>
      <c r="V164" s="51" t="e">
        <f t="shared" si="106"/>
        <v>#REF!</v>
      </c>
      <c r="W164" s="51" t="e">
        <f t="shared" si="106"/>
        <v>#REF!</v>
      </c>
      <c r="X164" s="51" t="e">
        <f t="shared" si="106"/>
        <v>#REF!</v>
      </c>
    </row>
    <row r="165" spans="2:24" outlineLevel="1" x14ac:dyDescent="0.2"/>
    <row r="166" spans="2:24" outlineLevel="1" x14ac:dyDescent="0.2">
      <c r="B166" s="52" t="s">
        <v>87</v>
      </c>
      <c r="C166" s="53"/>
      <c r="D166" s="53"/>
      <c r="E166" s="52">
        <f>IF(E164&gt;0,E164*10%,0)</f>
        <v>8153103.1474714251</v>
      </c>
      <c r="F166" s="52">
        <f t="shared" ref="F166:X166" si="107">IF(F164&gt;0,F164*10%,0)</f>
        <v>9265667.9155381266</v>
      </c>
      <c r="G166" s="52">
        <f t="shared" si="107"/>
        <v>10913419.153556496</v>
      </c>
      <c r="H166" s="52">
        <f t="shared" si="107"/>
        <v>12758549.949647309</v>
      </c>
      <c r="I166" s="52">
        <f t="shared" si="107"/>
        <v>0</v>
      </c>
      <c r="J166" s="52">
        <f t="shared" si="107"/>
        <v>0</v>
      </c>
      <c r="K166" s="52">
        <f t="shared" si="107"/>
        <v>0</v>
      </c>
      <c r="L166" s="52">
        <f t="shared" si="107"/>
        <v>0</v>
      </c>
      <c r="M166" s="52">
        <f t="shared" si="107"/>
        <v>0</v>
      </c>
      <c r="N166" s="52">
        <f t="shared" si="107"/>
        <v>0</v>
      </c>
      <c r="O166" s="52">
        <f t="shared" si="107"/>
        <v>0</v>
      </c>
      <c r="P166" s="52">
        <f t="shared" si="107"/>
        <v>0</v>
      </c>
      <c r="Q166" s="52">
        <f t="shared" si="107"/>
        <v>0</v>
      </c>
      <c r="R166" s="52" t="e">
        <f t="shared" si="107"/>
        <v>#REF!</v>
      </c>
      <c r="S166" s="52" t="e">
        <f t="shared" si="107"/>
        <v>#REF!</v>
      </c>
      <c r="T166" s="52" t="e">
        <f t="shared" si="107"/>
        <v>#REF!</v>
      </c>
      <c r="U166" s="52" t="e">
        <f t="shared" si="107"/>
        <v>#REF!</v>
      </c>
      <c r="V166" s="52" t="e">
        <f t="shared" si="107"/>
        <v>#REF!</v>
      </c>
      <c r="W166" s="52" t="e">
        <f t="shared" si="107"/>
        <v>#REF!</v>
      </c>
      <c r="X166" s="52" t="e">
        <f t="shared" si="107"/>
        <v>#REF!</v>
      </c>
    </row>
    <row r="167" spans="2:24" outlineLevel="1" x14ac:dyDescent="0.2">
      <c r="B167" s="52" t="s">
        <v>88</v>
      </c>
      <c r="C167" s="53"/>
      <c r="D167" s="53"/>
      <c r="E167" s="52">
        <f t="shared" ref="E167:X167" si="108">IF(E164&gt;0,E164*E86,0)</f>
        <v>48918618.884828545</v>
      </c>
      <c r="F167" s="52">
        <f t="shared" si="108"/>
        <v>55594007.493228756</v>
      </c>
      <c r="G167" s="52">
        <f t="shared" si="108"/>
        <v>65480514.921338975</v>
      </c>
      <c r="H167" s="52">
        <f t="shared" si="108"/>
        <v>76551299.697883844</v>
      </c>
      <c r="I167" s="52">
        <f t="shared" si="108"/>
        <v>0</v>
      </c>
      <c r="J167" s="52">
        <f t="shared" si="108"/>
        <v>0</v>
      </c>
      <c r="K167" s="52">
        <f t="shared" si="108"/>
        <v>0</v>
      </c>
      <c r="L167" s="52">
        <f t="shared" si="108"/>
        <v>0</v>
      </c>
      <c r="M167" s="52">
        <f t="shared" si="108"/>
        <v>0</v>
      </c>
      <c r="N167" s="52">
        <f t="shared" si="108"/>
        <v>0</v>
      </c>
      <c r="O167" s="52">
        <f t="shared" si="108"/>
        <v>0</v>
      </c>
      <c r="P167" s="52">
        <f t="shared" si="108"/>
        <v>0</v>
      </c>
      <c r="Q167" s="52">
        <f t="shared" si="108"/>
        <v>0</v>
      </c>
      <c r="R167" s="52" t="e">
        <f t="shared" si="108"/>
        <v>#REF!</v>
      </c>
      <c r="S167" s="52" t="e">
        <f t="shared" si="108"/>
        <v>#REF!</v>
      </c>
      <c r="T167" s="52" t="e">
        <f t="shared" si="108"/>
        <v>#REF!</v>
      </c>
      <c r="U167" s="52" t="e">
        <f t="shared" si="108"/>
        <v>#REF!</v>
      </c>
      <c r="V167" s="52" t="e">
        <f t="shared" si="108"/>
        <v>#REF!</v>
      </c>
      <c r="W167" s="52" t="e">
        <f t="shared" si="108"/>
        <v>#REF!</v>
      </c>
      <c r="X167" s="52" t="e">
        <f t="shared" si="108"/>
        <v>#REF!</v>
      </c>
    </row>
    <row r="168" spans="2:24" outlineLevel="1" x14ac:dyDescent="0.2"/>
    <row r="170" spans="2:24" ht="15" x14ac:dyDescent="0.25">
      <c r="B170" s="49" t="s">
        <v>89</v>
      </c>
      <c r="E170">
        <v>1</v>
      </c>
      <c r="F170">
        <v>2</v>
      </c>
      <c r="G170">
        <v>3</v>
      </c>
      <c r="H170">
        <v>4</v>
      </c>
      <c r="I170">
        <v>5</v>
      </c>
      <c r="J170">
        <v>6</v>
      </c>
      <c r="K170">
        <v>7</v>
      </c>
      <c r="L170">
        <v>8</v>
      </c>
      <c r="M170">
        <v>9</v>
      </c>
      <c r="N170">
        <v>10</v>
      </c>
      <c r="O170">
        <v>11</v>
      </c>
      <c r="P170">
        <v>12</v>
      </c>
      <c r="Q170">
        <v>13</v>
      </c>
      <c r="R170">
        <v>14</v>
      </c>
      <c r="S170">
        <v>15</v>
      </c>
      <c r="T170">
        <v>16</v>
      </c>
      <c r="U170">
        <v>17</v>
      </c>
      <c r="V170">
        <v>18</v>
      </c>
      <c r="W170">
        <v>19</v>
      </c>
      <c r="X170">
        <v>20</v>
      </c>
    </row>
    <row r="172" spans="2:24" outlineLevel="1" x14ac:dyDescent="0.2">
      <c r="B172" t="s">
        <v>79</v>
      </c>
      <c r="C172" s="14"/>
      <c r="D172" s="14"/>
      <c r="E172" s="25">
        <f>+E152</f>
        <v>125097160</v>
      </c>
      <c r="F172" s="25">
        <f t="shared" ref="F172:X172" si="109">+F152</f>
        <v>142152372.36600003</v>
      </c>
      <c r="G172" s="25">
        <f t="shared" si="109"/>
        <v>167344214.49994206</v>
      </c>
      <c r="H172" s="25">
        <f t="shared" si="109"/>
        <v>195558283.99854308</v>
      </c>
      <c r="I172" s="25">
        <f t="shared" si="109"/>
        <v>0</v>
      </c>
      <c r="J172" s="25">
        <f>+J152</f>
        <v>0</v>
      </c>
      <c r="K172" s="25">
        <f t="shared" si="109"/>
        <v>0</v>
      </c>
      <c r="L172" s="25">
        <f t="shared" si="109"/>
        <v>0</v>
      </c>
      <c r="M172" s="25">
        <f t="shared" si="109"/>
        <v>0</v>
      </c>
      <c r="N172" s="25">
        <f t="shared" si="109"/>
        <v>0</v>
      </c>
      <c r="O172" s="25">
        <f t="shared" si="109"/>
        <v>0</v>
      </c>
      <c r="P172" s="25">
        <f t="shared" si="109"/>
        <v>0</v>
      </c>
      <c r="Q172" s="25">
        <f t="shared" si="109"/>
        <v>0</v>
      </c>
      <c r="R172" s="25">
        <f t="shared" si="109"/>
        <v>0</v>
      </c>
      <c r="S172" s="25">
        <f t="shared" si="109"/>
        <v>0</v>
      </c>
      <c r="T172" s="25">
        <f t="shared" si="109"/>
        <v>0</v>
      </c>
      <c r="U172" s="25">
        <f t="shared" si="109"/>
        <v>0</v>
      </c>
      <c r="V172" s="25">
        <f t="shared" si="109"/>
        <v>0</v>
      </c>
      <c r="W172" s="25">
        <f t="shared" si="109"/>
        <v>0</v>
      </c>
      <c r="X172" s="25">
        <f t="shared" si="109"/>
        <v>0</v>
      </c>
    </row>
    <row r="173" spans="2:24" outlineLevel="1" x14ac:dyDescent="0.2"/>
    <row r="174" spans="2:24" outlineLevel="1" x14ac:dyDescent="0.2">
      <c r="B174" t="s">
        <v>90</v>
      </c>
      <c r="E174" s="25">
        <f>-E65</f>
        <v>-3.1349999999999994E-48</v>
      </c>
      <c r="F174" s="25">
        <f t="shared" ref="F174:N174" si="110">-F65</f>
        <v>3.1349999999999994E-48</v>
      </c>
      <c r="G174" s="25">
        <f t="shared" si="110"/>
        <v>0</v>
      </c>
      <c r="H174" s="25">
        <f t="shared" si="110"/>
        <v>0</v>
      </c>
      <c r="I174" s="25">
        <f t="shared" si="110"/>
        <v>0</v>
      </c>
      <c r="J174" s="25">
        <f t="shared" si="110"/>
        <v>0</v>
      </c>
      <c r="K174" s="25">
        <f t="shared" si="110"/>
        <v>0</v>
      </c>
      <c r="L174" s="25">
        <f t="shared" si="110"/>
        <v>0</v>
      </c>
      <c r="M174" s="25">
        <f t="shared" si="110"/>
        <v>0</v>
      </c>
      <c r="N174" s="25">
        <f t="shared" si="110"/>
        <v>0</v>
      </c>
      <c r="O174" s="25">
        <f>-O65</f>
        <v>0</v>
      </c>
      <c r="P174" s="25">
        <f t="shared" ref="P174:X174" si="111">-P65</f>
        <v>0</v>
      </c>
      <c r="Q174" s="25">
        <f t="shared" si="111"/>
        <v>0</v>
      </c>
      <c r="R174" s="25">
        <f t="shared" si="111"/>
        <v>0</v>
      </c>
      <c r="S174" s="25">
        <f t="shared" si="111"/>
        <v>0</v>
      </c>
      <c r="T174" s="25">
        <f t="shared" si="111"/>
        <v>0</v>
      </c>
      <c r="U174" s="25">
        <f t="shared" si="111"/>
        <v>0</v>
      </c>
      <c r="V174" s="25">
        <f t="shared" si="111"/>
        <v>0</v>
      </c>
      <c r="W174" s="25">
        <f t="shared" si="111"/>
        <v>0</v>
      </c>
      <c r="X174" s="25">
        <f t="shared" si="111"/>
        <v>0</v>
      </c>
    </row>
    <row r="175" spans="2:24" outlineLevel="1" x14ac:dyDescent="0.2">
      <c r="B175" t="s">
        <v>91</v>
      </c>
      <c r="D175" s="25">
        <f>-D122</f>
        <v>-36940000</v>
      </c>
      <c r="E175" s="25">
        <f>+E124</f>
        <v>0</v>
      </c>
      <c r="F175" s="25">
        <f t="shared" ref="F175:X175" si="112">+F124</f>
        <v>0</v>
      </c>
      <c r="G175" s="25">
        <f t="shared" si="112"/>
        <v>0</v>
      </c>
      <c r="H175" s="25">
        <f t="shared" si="112"/>
        <v>0</v>
      </c>
      <c r="I175" s="25">
        <f t="shared" si="112"/>
        <v>0</v>
      </c>
      <c r="J175" s="25">
        <f t="shared" si="112"/>
        <v>0</v>
      </c>
      <c r="K175" s="25">
        <f t="shared" si="112"/>
        <v>0</v>
      </c>
      <c r="L175" s="25">
        <f t="shared" si="112"/>
        <v>0</v>
      </c>
      <c r="M175" s="25">
        <f t="shared" si="112"/>
        <v>0</v>
      </c>
      <c r="N175" s="25">
        <f t="shared" si="112"/>
        <v>0</v>
      </c>
      <c r="O175" s="25">
        <f t="shared" si="112"/>
        <v>0</v>
      </c>
      <c r="P175" s="25">
        <f t="shared" si="112"/>
        <v>0</v>
      </c>
      <c r="Q175" s="25">
        <f t="shared" si="112"/>
        <v>0</v>
      </c>
      <c r="R175" s="25">
        <f t="shared" si="112"/>
        <v>0</v>
      </c>
      <c r="S175" s="25">
        <f t="shared" si="112"/>
        <v>0</v>
      </c>
      <c r="T175" s="25">
        <f t="shared" si="112"/>
        <v>0</v>
      </c>
      <c r="U175" s="25">
        <f t="shared" si="112"/>
        <v>0</v>
      </c>
      <c r="V175" s="25">
        <f t="shared" si="112"/>
        <v>0</v>
      </c>
      <c r="W175" s="25">
        <f t="shared" si="112"/>
        <v>0</v>
      </c>
      <c r="X175" s="25">
        <f t="shared" si="112"/>
        <v>0</v>
      </c>
    </row>
    <row r="176" spans="2:24" outlineLevel="1" x14ac:dyDescent="0.2">
      <c r="B176" t="s">
        <v>92</v>
      </c>
      <c r="D176" s="25">
        <f>-D131</f>
        <v>-2800000</v>
      </c>
      <c r="E176" s="46"/>
      <c r="F176" s="46"/>
      <c r="G176" s="46"/>
      <c r="H176" s="46"/>
      <c r="I176" s="46"/>
      <c r="J176" s="46"/>
      <c r="K176" s="46"/>
      <c r="L176" s="46"/>
      <c r="M176" s="46"/>
      <c r="N176" s="46"/>
      <c r="O176" s="46"/>
      <c r="P176" s="46"/>
      <c r="Q176" s="46"/>
      <c r="R176" s="46"/>
      <c r="S176" s="46"/>
      <c r="T176" s="46"/>
      <c r="U176" s="46"/>
      <c r="V176" s="46"/>
      <c r="W176" s="46"/>
      <c r="X176" s="46"/>
    </row>
    <row r="177" spans="2:24" outlineLevel="1" x14ac:dyDescent="0.2">
      <c r="D177" s="25"/>
    </row>
    <row r="178" spans="2:24" outlineLevel="1" x14ac:dyDescent="0.2">
      <c r="B178" t="s">
        <v>93</v>
      </c>
      <c r="D178" s="25">
        <f>+SUM(D172:D176)</f>
        <v>-39740000</v>
      </c>
      <c r="E178" s="25">
        <f t="shared" ref="E178:N178" si="113">+SUM(E172:E176)</f>
        <v>125097160</v>
      </c>
      <c r="F178" s="25">
        <f t="shared" si="113"/>
        <v>142152372.36600003</v>
      </c>
      <c r="G178" s="25">
        <f t="shared" si="113"/>
        <v>167344214.49994206</v>
      </c>
      <c r="H178" s="25">
        <f t="shared" si="113"/>
        <v>195558283.99854308</v>
      </c>
      <c r="I178" s="25">
        <f t="shared" si="113"/>
        <v>0</v>
      </c>
      <c r="J178" s="25">
        <f t="shared" si="113"/>
        <v>0</v>
      </c>
      <c r="K178" s="25">
        <f t="shared" si="113"/>
        <v>0</v>
      </c>
      <c r="L178" s="25">
        <f t="shared" si="113"/>
        <v>0</v>
      </c>
      <c r="M178" s="25">
        <f t="shared" si="113"/>
        <v>0</v>
      </c>
      <c r="N178" s="25">
        <f t="shared" si="113"/>
        <v>0</v>
      </c>
      <c r="O178" s="25">
        <f t="shared" ref="O178:X178" si="114">+SUM(O172:O176)</f>
        <v>0</v>
      </c>
      <c r="P178" s="25">
        <f t="shared" si="114"/>
        <v>0</v>
      </c>
      <c r="Q178" s="25">
        <f t="shared" si="114"/>
        <v>0</v>
      </c>
      <c r="R178" s="25">
        <f t="shared" si="114"/>
        <v>0</v>
      </c>
      <c r="S178" s="25">
        <f t="shared" si="114"/>
        <v>0</v>
      </c>
      <c r="T178" s="25">
        <f t="shared" si="114"/>
        <v>0</v>
      </c>
      <c r="U178" s="25">
        <f t="shared" si="114"/>
        <v>0</v>
      </c>
      <c r="V178" s="25">
        <f t="shared" si="114"/>
        <v>0</v>
      </c>
      <c r="W178" s="25">
        <f t="shared" si="114"/>
        <v>0</v>
      </c>
      <c r="X178" s="25">
        <f t="shared" si="114"/>
        <v>0</v>
      </c>
    </row>
    <row r="179" spans="2:24" outlineLevel="1" x14ac:dyDescent="0.2">
      <c r="B179" t="s">
        <v>94</v>
      </c>
      <c r="D179" s="14"/>
      <c r="E179" s="25">
        <f>+E162</f>
        <v>-42000834.396064915</v>
      </c>
      <c r="F179" s="25">
        <f t="shared" ref="F179:X179" si="115">+F162</f>
        <v>-47732228.655802466</v>
      </c>
      <c r="G179" s="25">
        <f t="shared" si="115"/>
        <v>-56220644.124381959</v>
      </c>
      <c r="H179" s="25">
        <f t="shared" si="115"/>
        <v>-65725863.376970991</v>
      </c>
      <c r="I179" s="25">
        <f t="shared" si="115"/>
        <v>0</v>
      </c>
      <c r="J179" s="25">
        <f t="shared" si="115"/>
        <v>0</v>
      </c>
      <c r="K179" s="25">
        <f t="shared" si="115"/>
        <v>0</v>
      </c>
      <c r="L179" s="25">
        <f t="shared" si="115"/>
        <v>0</v>
      </c>
      <c r="M179" s="25">
        <f t="shared" si="115"/>
        <v>0</v>
      </c>
      <c r="N179" s="25">
        <f t="shared" si="115"/>
        <v>0</v>
      </c>
      <c r="O179" s="25">
        <f t="shared" si="115"/>
        <v>0</v>
      </c>
      <c r="P179" s="25">
        <f t="shared" si="115"/>
        <v>0</v>
      </c>
      <c r="Q179" s="25">
        <f t="shared" si="115"/>
        <v>0</v>
      </c>
      <c r="R179" s="25" t="e">
        <f t="shared" si="115"/>
        <v>#REF!</v>
      </c>
      <c r="S179" s="25" t="e">
        <f t="shared" si="115"/>
        <v>#REF!</v>
      </c>
      <c r="T179" s="25" t="e">
        <f t="shared" si="115"/>
        <v>#REF!</v>
      </c>
      <c r="U179" s="25" t="e">
        <f t="shared" si="115"/>
        <v>#REF!</v>
      </c>
      <c r="V179" s="25" t="e">
        <f t="shared" si="115"/>
        <v>#REF!</v>
      </c>
      <c r="W179" s="25" t="e">
        <f t="shared" si="115"/>
        <v>#REF!</v>
      </c>
      <c r="X179" s="25" t="e">
        <f t="shared" si="115"/>
        <v>#REF!</v>
      </c>
    </row>
    <row r="180" spans="2:24" outlineLevel="1" x14ac:dyDescent="0.2"/>
    <row r="181" spans="2:24" outlineLevel="1" x14ac:dyDescent="0.2">
      <c r="B181" s="50" t="s">
        <v>89</v>
      </c>
      <c r="D181" s="51">
        <f>+D178+D179</f>
        <v>-39740000</v>
      </c>
      <c r="E181" s="51">
        <f t="shared" ref="E181:X181" si="116">+E178+E179</f>
        <v>83096325.603935093</v>
      </c>
      <c r="F181" s="51">
        <f t="shared" si="116"/>
        <v>94420143.710197568</v>
      </c>
      <c r="G181" s="51">
        <f t="shared" si="116"/>
        <v>111123570.3755601</v>
      </c>
      <c r="H181" s="51">
        <f t="shared" si="116"/>
        <v>129832420.62157209</v>
      </c>
      <c r="I181" s="51">
        <f t="shared" si="116"/>
        <v>0</v>
      </c>
      <c r="J181" s="51">
        <f t="shared" si="116"/>
        <v>0</v>
      </c>
      <c r="K181" s="51">
        <f t="shared" si="116"/>
        <v>0</v>
      </c>
      <c r="L181" s="51">
        <f t="shared" si="116"/>
        <v>0</v>
      </c>
      <c r="M181" s="51">
        <f t="shared" si="116"/>
        <v>0</v>
      </c>
      <c r="N181" s="51">
        <f t="shared" si="116"/>
        <v>0</v>
      </c>
      <c r="O181" s="51">
        <f t="shared" si="116"/>
        <v>0</v>
      </c>
      <c r="P181" s="51">
        <f t="shared" si="116"/>
        <v>0</v>
      </c>
      <c r="Q181" s="51">
        <f t="shared" si="116"/>
        <v>0</v>
      </c>
      <c r="R181" s="51" t="e">
        <f t="shared" si="116"/>
        <v>#REF!</v>
      </c>
      <c r="S181" s="51" t="e">
        <f t="shared" si="116"/>
        <v>#REF!</v>
      </c>
      <c r="T181" s="51" t="e">
        <f t="shared" si="116"/>
        <v>#REF!</v>
      </c>
      <c r="U181" s="51" t="e">
        <f t="shared" si="116"/>
        <v>#REF!</v>
      </c>
      <c r="V181" s="51" t="e">
        <f t="shared" si="116"/>
        <v>#REF!</v>
      </c>
      <c r="W181" s="51" t="e">
        <f t="shared" si="116"/>
        <v>#REF!</v>
      </c>
      <c r="X181" s="51" t="e">
        <f t="shared" si="116"/>
        <v>#REF!</v>
      </c>
    </row>
    <row r="182" spans="2:24" outlineLevel="1" x14ac:dyDescent="0.2"/>
    <row r="183" spans="2:24" outlineLevel="1" x14ac:dyDescent="0.2">
      <c r="D183" s="25">
        <f>+D181</f>
        <v>-39740000</v>
      </c>
      <c r="E183" s="25">
        <f>+PV($E$70,E$170,0,-E181,0)</f>
        <v>74087308.848016307</v>
      </c>
      <c r="F183" s="25">
        <f t="shared" ref="F183:X183" si="117">+PV($E$70,F$170,0,-F181,0)</f>
        <v>75056559.992340133</v>
      </c>
      <c r="G183" s="25">
        <f t="shared" si="117"/>
        <v>78757547.693886355</v>
      </c>
      <c r="H183" s="25">
        <f t="shared" si="117"/>
        <v>82041038.989745662</v>
      </c>
      <c r="I183" s="25">
        <f t="shared" si="117"/>
        <v>0</v>
      </c>
      <c r="J183" s="25">
        <f t="shared" si="117"/>
        <v>0</v>
      </c>
      <c r="K183" s="25">
        <f t="shared" si="117"/>
        <v>0</v>
      </c>
      <c r="L183" s="25">
        <f t="shared" si="117"/>
        <v>0</v>
      </c>
      <c r="M183" s="25">
        <f t="shared" si="117"/>
        <v>0</v>
      </c>
      <c r="N183" s="25">
        <f t="shared" si="117"/>
        <v>0</v>
      </c>
      <c r="O183" s="25">
        <f t="shared" si="117"/>
        <v>0</v>
      </c>
      <c r="P183" s="25">
        <f t="shared" si="117"/>
        <v>0</v>
      </c>
      <c r="Q183" s="25">
        <f t="shared" si="117"/>
        <v>0</v>
      </c>
      <c r="R183" s="25" t="e">
        <f t="shared" si="117"/>
        <v>#REF!</v>
      </c>
      <c r="S183" s="25" t="e">
        <f t="shared" si="117"/>
        <v>#REF!</v>
      </c>
      <c r="T183" s="25" t="e">
        <f t="shared" si="117"/>
        <v>#REF!</v>
      </c>
      <c r="U183" s="25" t="e">
        <f t="shared" si="117"/>
        <v>#REF!</v>
      </c>
      <c r="V183" s="25" t="e">
        <f t="shared" si="117"/>
        <v>#REF!</v>
      </c>
      <c r="W183" s="25" t="e">
        <f t="shared" si="117"/>
        <v>#REF!</v>
      </c>
      <c r="X183" s="25" t="e">
        <f t="shared" si="117"/>
        <v>#REF!</v>
      </c>
    </row>
    <row r="184" spans="2:24" outlineLevel="1" x14ac:dyDescent="0.2"/>
    <row r="185" spans="2:24" outlineLevel="1" x14ac:dyDescent="0.2">
      <c r="B185" s="54" t="s">
        <v>95</v>
      </c>
      <c r="C185" s="55" t="e">
        <f>+IRR(D181:X181)</f>
        <v>#VALUE!</v>
      </c>
    </row>
    <row r="186" spans="2:24" outlineLevel="1" x14ac:dyDescent="0.2">
      <c r="B186" s="54" t="s">
        <v>96</v>
      </c>
      <c r="C186" s="56" t="e">
        <f>+SUM(D183:X183)</f>
        <v>#REF!</v>
      </c>
      <c r="D186" s="25"/>
    </row>
    <row r="187" spans="2:24" outlineLevel="1" x14ac:dyDescent="0.2">
      <c r="B187" s="57" t="s">
        <v>97</v>
      </c>
      <c r="C187" s="58" t="e">
        <f>+C186-C207</f>
        <v>#REF!</v>
      </c>
    </row>
    <row r="189" spans="2:24" ht="15" x14ac:dyDescent="0.25">
      <c r="B189" s="49" t="s">
        <v>98</v>
      </c>
    </row>
    <row r="191" spans="2:24" outlineLevel="1" x14ac:dyDescent="0.2">
      <c r="B191" t="s">
        <v>99</v>
      </c>
      <c r="D191" s="14"/>
      <c r="E191" s="25">
        <f t="shared" ref="E191:X191" si="118">+E150+E162+E154</f>
        <v>78008325.603935093</v>
      </c>
      <c r="F191" s="25">
        <f t="shared" si="118"/>
        <v>89332143.710197568</v>
      </c>
      <c r="G191" s="25">
        <f t="shared" si="118"/>
        <v>106035570.3755601</v>
      </c>
      <c r="H191" s="25">
        <f t="shared" si="118"/>
        <v>124744420.62157209</v>
      </c>
      <c r="I191" s="25">
        <f t="shared" si="118"/>
        <v>-4388000</v>
      </c>
      <c r="J191" s="25">
        <f t="shared" si="118"/>
        <v>-3000000</v>
      </c>
      <c r="K191" s="25">
        <f t="shared" si="118"/>
        <v>-3000000</v>
      </c>
      <c r="L191" s="25">
        <f t="shared" si="118"/>
        <v>-3000000</v>
      </c>
      <c r="M191" s="25">
        <f t="shared" si="118"/>
        <v>-3000000</v>
      </c>
      <c r="N191" s="25">
        <f t="shared" si="118"/>
        <v>-3000000</v>
      </c>
      <c r="O191" s="25">
        <f t="shared" si="118"/>
        <v>0</v>
      </c>
      <c r="P191" s="25">
        <f t="shared" si="118"/>
        <v>0</v>
      </c>
      <c r="Q191" s="25">
        <f t="shared" si="118"/>
        <v>0</v>
      </c>
      <c r="R191" s="25" t="e">
        <f t="shared" si="118"/>
        <v>#REF!</v>
      </c>
      <c r="S191" s="25" t="e">
        <f t="shared" si="118"/>
        <v>#REF!</v>
      </c>
      <c r="T191" s="25" t="e">
        <f t="shared" si="118"/>
        <v>#REF!</v>
      </c>
      <c r="U191" s="25" t="e">
        <f t="shared" si="118"/>
        <v>#REF!</v>
      </c>
      <c r="V191" s="25" t="e">
        <f t="shared" si="118"/>
        <v>#REF!</v>
      </c>
      <c r="W191" s="25" t="e">
        <f t="shared" si="118"/>
        <v>#REF!</v>
      </c>
      <c r="X191" s="25" t="e">
        <f t="shared" si="118"/>
        <v>#REF!</v>
      </c>
    </row>
    <row r="192" spans="2:24" outlineLevel="1" x14ac:dyDescent="0.2"/>
    <row r="193" spans="2:24" outlineLevel="1" x14ac:dyDescent="0.2">
      <c r="B193" t="s">
        <v>100</v>
      </c>
      <c r="E193" s="25">
        <f t="shared" ref="E193:X193" si="119">+E61+E62-E63</f>
        <v>3.1349999999999994E-48</v>
      </c>
      <c r="F193" s="25">
        <f t="shared" si="119"/>
        <v>0</v>
      </c>
      <c r="G193" s="25">
        <f t="shared" si="119"/>
        <v>0</v>
      </c>
      <c r="H193" s="25">
        <f t="shared" si="119"/>
        <v>0</v>
      </c>
      <c r="I193" s="25">
        <f t="shared" si="119"/>
        <v>0</v>
      </c>
      <c r="J193" s="25">
        <f t="shared" si="119"/>
        <v>0</v>
      </c>
      <c r="K193" s="25">
        <f t="shared" si="119"/>
        <v>0</v>
      </c>
      <c r="L193" s="25">
        <f t="shared" si="119"/>
        <v>0</v>
      </c>
      <c r="M193" s="25">
        <f t="shared" si="119"/>
        <v>0</v>
      </c>
      <c r="N193" s="25">
        <f t="shared" si="119"/>
        <v>0</v>
      </c>
      <c r="O193" s="25">
        <f t="shared" si="119"/>
        <v>0</v>
      </c>
      <c r="P193" s="25">
        <f t="shared" si="119"/>
        <v>0</v>
      </c>
      <c r="Q193" s="25">
        <f t="shared" si="119"/>
        <v>0</v>
      </c>
      <c r="R193" s="25">
        <f t="shared" si="119"/>
        <v>0</v>
      </c>
      <c r="S193" s="25">
        <f t="shared" si="119"/>
        <v>0</v>
      </c>
      <c r="T193" s="25">
        <f t="shared" si="119"/>
        <v>0</v>
      </c>
      <c r="U193" s="25">
        <f t="shared" si="119"/>
        <v>0</v>
      </c>
      <c r="V193" s="25">
        <f t="shared" si="119"/>
        <v>0</v>
      </c>
      <c r="W193" s="25">
        <f t="shared" si="119"/>
        <v>0</v>
      </c>
      <c r="X193" s="25">
        <f t="shared" si="119"/>
        <v>0</v>
      </c>
    </row>
    <row r="194" spans="2:24" outlineLevel="1" x14ac:dyDescent="0.2">
      <c r="B194" t="s">
        <v>101</v>
      </c>
      <c r="D194" s="25">
        <f t="shared" ref="D194:X194" si="120">+D245+D250+D247</f>
        <v>39740000</v>
      </c>
      <c r="E194" s="25">
        <f t="shared" si="120"/>
        <v>34652000</v>
      </c>
      <c r="F194" s="25">
        <f t="shared" si="120"/>
        <v>29564000</v>
      </c>
      <c r="G194" s="25">
        <f t="shared" si="120"/>
        <v>24476000</v>
      </c>
      <c r="H194" s="25">
        <f t="shared" si="120"/>
        <v>19388000</v>
      </c>
      <c r="I194" s="25">
        <f t="shared" si="120"/>
        <v>15000000</v>
      </c>
      <c r="J194" s="25">
        <f t="shared" si="120"/>
        <v>12000000</v>
      </c>
      <c r="K194" s="25">
        <f t="shared" si="120"/>
        <v>9000000</v>
      </c>
      <c r="L194" s="25">
        <f t="shared" si="120"/>
        <v>6000000</v>
      </c>
      <c r="M194" s="25">
        <f t="shared" si="120"/>
        <v>3000000</v>
      </c>
      <c r="N194" s="25">
        <f t="shared" si="120"/>
        <v>0</v>
      </c>
      <c r="O194" s="25">
        <f t="shared" si="120"/>
        <v>0</v>
      </c>
      <c r="P194" s="25">
        <f t="shared" si="120"/>
        <v>0</v>
      </c>
      <c r="Q194" s="25">
        <f t="shared" si="120"/>
        <v>0</v>
      </c>
      <c r="R194" s="25">
        <f t="shared" si="120"/>
        <v>0</v>
      </c>
      <c r="S194" s="25">
        <f t="shared" si="120"/>
        <v>0</v>
      </c>
      <c r="T194" s="25">
        <f t="shared" si="120"/>
        <v>0</v>
      </c>
      <c r="U194" s="25">
        <f t="shared" si="120"/>
        <v>0</v>
      </c>
      <c r="V194" s="25">
        <f t="shared" si="120"/>
        <v>0</v>
      </c>
      <c r="W194" s="25">
        <f t="shared" si="120"/>
        <v>0</v>
      </c>
      <c r="X194" s="25">
        <f t="shared" si="120"/>
        <v>0</v>
      </c>
    </row>
    <row r="195" spans="2:24" outlineLevel="1" x14ac:dyDescent="0.2">
      <c r="D195" s="25"/>
    </row>
    <row r="196" spans="2:24" outlineLevel="1" x14ac:dyDescent="0.2">
      <c r="B196" t="s">
        <v>102</v>
      </c>
      <c r="D196" s="25">
        <f>+SUM(D193:D194)</f>
        <v>39740000</v>
      </c>
      <c r="E196" s="25">
        <f t="shared" ref="E196:O196" si="121">+SUM(E193:E194)</f>
        <v>34652000</v>
      </c>
      <c r="F196" s="25">
        <f t="shared" si="121"/>
        <v>29564000</v>
      </c>
      <c r="G196" s="25">
        <f t="shared" si="121"/>
        <v>24476000</v>
      </c>
      <c r="H196" s="25">
        <f t="shared" si="121"/>
        <v>19388000</v>
      </c>
      <c r="I196" s="25">
        <f t="shared" si="121"/>
        <v>15000000</v>
      </c>
      <c r="J196" s="25">
        <f t="shared" si="121"/>
        <v>12000000</v>
      </c>
      <c r="K196" s="25">
        <f t="shared" si="121"/>
        <v>9000000</v>
      </c>
      <c r="L196" s="25">
        <f t="shared" si="121"/>
        <v>6000000</v>
      </c>
      <c r="M196" s="25">
        <f t="shared" si="121"/>
        <v>3000000</v>
      </c>
      <c r="N196" s="25">
        <f t="shared" si="121"/>
        <v>0</v>
      </c>
      <c r="O196" s="25">
        <f t="shared" si="121"/>
        <v>0</v>
      </c>
      <c r="P196" s="25">
        <f t="shared" ref="P196:X196" si="122">+SUM(P193:P194)</f>
        <v>0</v>
      </c>
      <c r="Q196" s="25">
        <f t="shared" si="122"/>
        <v>0</v>
      </c>
      <c r="R196" s="25">
        <f t="shared" si="122"/>
        <v>0</v>
      </c>
      <c r="S196" s="25">
        <f t="shared" si="122"/>
        <v>0</v>
      </c>
      <c r="T196" s="25">
        <f t="shared" si="122"/>
        <v>0</v>
      </c>
      <c r="U196" s="25">
        <f t="shared" si="122"/>
        <v>0</v>
      </c>
      <c r="V196" s="25">
        <f t="shared" si="122"/>
        <v>0</v>
      </c>
      <c r="W196" s="25">
        <f t="shared" si="122"/>
        <v>0</v>
      </c>
      <c r="X196" s="25">
        <f t="shared" si="122"/>
        <v>0</v>
      </c>
    </row>
    <row r="197" spans="2:24" outlineLevel="1" x14ac:dyDescent="0.2"/>
    <row r="198" spans="2:24" outlineLevel="1" x14ac:dyDescent="0.2">
      <c r="B198" t="s">
        <v>103</v>
      </c>
      <c r="D198" s="14"/>
      <c r="E198" s="29">
        <f>IFERROR(E191/E196,0)</f>
        <v>2.2511925892859024</v>
      </c>
      <c r="F198" s="29">
        <f t="shared" ref="F198:X198" si="123">IFERROR(F191/F196,0)</f>
        <v>3.0216528111959668</v>
      </c>
      <c r="G198" s="29">
        <f t="shared" si="123"/>
        <v>4.3322262778052014</v>
      </c>
      <c r="H198" s="29">
        <f t="shared" si="123"/>
        <v>6.4341046328436198</v>
      </c>
      <c r="I198" s="29">
        <f t="shared" si="123"/>
        <v>-0.29253333333333331</v>
      </c>
      <c r="J198" s="29">
        <f t="shared" si="123"/>
        <v>-0.25</v>
      </c>
      <c r="K198" s="29">
        <f t="shared" si="123"/>
        <v>-0.33333333333333331</v>
      </c>
      <c r="L198" s="29">
        <f t="shared" si="123"/>
        <v>-0.5</v>
      </c>
      <c r="M198" s="29">
        <f t="shared" si="123"/>
        <v>-1</v>
      </c>
      <c r="N198" s="29">
        <f t="shared" si="123"/>
        <v>0</v>
      </c>
      <c r="O198" s="29">
        <f t="shared" si="123"/>
        <v>0</v>
      </c>
      <c r="P198" s="29">
        <f t="shared" si="123"/>
        <v>0</v>
      </c>
      <c r="Q198" s="29">
        <f t="shared" si="123"/>
        <v>0</v>
      </c>
      <c r="R198" s="29">
        <f t="shared" si="123"/>
        <v>0</v>
      </c>
      <c r="S198" s="29">
        <f t="shared" si="123"/>
        <v>0</v>
      </c>
      <c r="T198" s="29">
        <f t="shared" si="123"/>
        <v>0</v>
      </c>
      <c r="U198" s="29">
        <f t="shared" si="123"/>
        <v>0</v>
      </c>
      <c r="V198" s="29">
        <f t="shared" si="123"/>
        <v>0</v>
      </c>
      <c r="W198" s="29">
        <f t="shared" si="123"/>
        <v>0</v>
      </c>
      <c r="X198" s="29">
        <f t="shared" si="123"/>
        <v>0</v>
      </c>
    </row>
    <row r="199" spans="2:24" outlineLevel="1" x14ac:dyDescent="0.2">
      <c r="B199" t="s">
        <v>104</v>
      </c>
      <c r="D199" s="14"/>
      <c r="E199" s="25">
        <f>+D196*$E$70</f>
        <v>4832384</v>
      </c>
      <c r="F199" s="25">
        <f t="shared" ref="F199:X199" si="124">+E196*$E$70</f>
        <v>4213683.2</v>
      </c>
      <c r="G199" s="25">
        <f t="shared" si="124"/>
        <v>3594982.4</v>
      </c>
      <c r="H199" s="25">
        <f t="shared" si="124"/>
        <v>2976281.6</v>
      </c>
      <c r="I199" s="25">
        <f t="shared" si="124"/>
        <v>2357580.7999999998</v>
      </c>
      <c r="J199" s="25">
        <f t="shared" si="124"/>
        <v>1824000</v>
      </c>
      <c r="K199" s="25">
        <f t="shared" si="124"/>
        <v>1459200</v>
      </c>
      <c r="L199" s="25">
        <f t="shared" si="124"/>
        <v>1094400</v>
      </c>
      <c r="M199" s="25">
        <f t="shared" si="124"/>
        <v>729600</v>
      </c>
      <c r="N199" s="25">
        <f t="shared" si="124"/>
        <v>364800</v>
      </c>
      <c r="O199" s="25">
        <f t="shared" si="124"/>
        <v>0</v>
      </c>
      <c r="P199" s="25">
        <f t="shared" si="124"/>
        <v>0</v>
      </c>
      <c r="Q199" s="25">
        <f t="shared" si="124"/>
        <v>0</v>
      </c>
      <c r="R199" s="25">
        <f t="shared" si="124"/>
        <v>0</v>
      </c>
      <c r="S199" s="25">
        <f t="shared" si="124"/>
        <v>0</v>
      </c>
      <c r="T199" s="25">
        <f t="shared" si="124"/>
        <v>0</v>
      </c>
      <c r="U199" s="25">
        <f t="shared" si="124"/>
        <v>0</v>
      </c>
      <c r="V199" s="25">
        <f t="shared" si="124"/>
        <v>0</v>
      </c>
      <c r="W199" s="25">
        <f t="shared" si="124"/>
        <v>0</v>
      </c>
      <c r="X199" s="25">
        <f t="shared" si="124"/>
        <v>0</v>
      </c>
    </row>
    <row r="200" spans="2:24" outlineLevel="1" x14ac:dyDescent="0.2"/>
    <row r="201" spans="2:24" outlineLevel="1" x14ac:dyDescent="0.2">
      <c r="B201" s="59" t="s">
        <v>98</v>
      </c>
      <c r="D201" s="14"/>
      <c r="E201" s="60">
        <f>+E191-(D196*$E$70)</f>
        <v>73175941.603935093</v>
      </c>
      <c r="F201" s="60">
        <f t="shared" ref="F201:X201" si="125">+F191-(E196*$E$70)</f>
        <v>85118460.510197565</v>
      </c>
      <c r="G201" s="60">
        <f t="shared" si="125"/>
        <v>102440587.9755601</v>
      </c>
      <c r="H201" s="60">
        <f t="shared" si="125"/>
        <v>121768139.0215721</v>
      </c>
      <c r="I201" s="60">
        <f t="shared" si="125"/>
        <v>-6745580.7999999998</v>
      </c>
      <c r="J201" s="60">
        <f t="shared" si="125"/>
        <v>-4824000</v>
      </c>
      <c r="K201" s="60">
        <f t="shared" si="125"/>
        <v>-4459200</v>
      </c>
      <c r="L201" s="60">
        <f t="shared" si="125"/>
        <v>-4094400</v>
      </c>
      <c r="M201" s="60">
        <f t="shared" si="125"/>
        <v>-3729600</v>
      </c>
      <c r="N201" s="60">
        <f t="shared" si="125"/>
        <v>-3364800</v>
      </c>
      <c r="O201" s="60">
        <f t="shared" si="125"/>
        <v>0</v>
      </c>
      <c r="P201" s="60">
        <f t="shared" si="125"/>
        <v>0</v>
      </c>
      <c r="Q201" s="60">
        <f t="shared" si="125"/>
        <v>0</v>
      </c>
      <c r="R201" s="60" t="e">
        <f t="shared" si="125"/>
        <v>#REF!</v>
      </c>
      <c r="S201" s="60" t="e">
        <f t="shared" si="125"/>
        <v>#REF!</v>
      </c>
      <c r="T201" s="60" t="e">
        <f t="shared" si="125"/>
        <v>#REF!</v>
      </c>
      <c r="U201" s="60" t="e">
        <f t="shared" si="125"/>
        <v>#REF!</v>
      </c>
      <c r="V201" s="60" t="e">
        <f t="shared" si="125"/>
        <v>#REF!</v>
      </c>
      <c r="W201" s="60" t="e">
        <f t="shared" si="125"/>
        <v>#REF!</v>
      </c>
      <c r="X201" s="60" t="e">
        <f t="shared" si="125"/>
        <v>#REF!</v>
      </c>
    </row>
    <row r="202" spans="2:24" outlineLevel="1" x14ac:dyDescent="0.2">
      <c r="E202" s="61">
        <f>+E191/D196</f>
        <v>1.962967428382866</v>
      </c>
      <c r="F202" s="61">
        <f t="shared" ref="F202:X202" si="126">+F191/E196</f>
        <v>2.5779794444822106</v>
      </c>
      <c r="G202" s="61">
        <f t="shared" si="126"/>
        <v>3.5866449186700078</v>
      </c>
      <c r="H202" s="61">
        <f t="shared" si="126"/>
        <v>5.0966015942789706</v>
      </c>
      <c r="I202" s="61">
        <f t="shared" si="126"/>
        <v>-0.22632556220342481</v>
      </c>
      <c r="J202" s="61">
        <f t="shared" si="126"/>
        <v>-0.2</v>
      </c>
      <c r="K202" s="61">
        <f t="shared" si="126"/>
        <v>-0.25</v>
      </c>
      <c r="L202" s="61">
        <f t="shared" si="126"/>
        <v>-0.33333333333333331</v>
      </c>
      <c r="M202" s="61">
        <f t="shared" si="126"/>
        <v>-0.5</v>
      </c>
      <c r="N202" s="61">
        <f t="shared" si="126"/>
        <v>-1</v>
      </c>
      <c r="O202" s="61" t="e">
        <f t="shared" si="126"/>
        <v>#DIV/0!</v>
      </c>
      <c r="P202" s="61" t="e">
        <f t="shared" si="126"/>
        <v>#DIV/0!</v>
      </c>
      <c r="Q202" s="61" t="e">
        <f t="shared" si="126"/>
        <v>#DIV/0!</v>
      </c>
      <c r="R202" s="61" t="e">
        <f t="shared" si="126"/>
        <v>#REF!</v>
      </c>
      <c r="S202" s="61" t="e">
        <f t="shared" si="126"/>
        <v>#REF!</v>
      </c>
      <c r="T202" s="61" t="e">
        <f t="shared" si="126"/>
        <v>#REF!</v>
      </c>
      <c r="U202" s="61" t="e">
        <f t="shared" si="126"/>
        <v>#REF!</v>
      </c>
      <c r="V202" s="61" t="e">
        <f t="shared" si="126"/>
        <v>#REF!</v>
      </c>
      <c r="W202" s="61" t="e">
        <f t="shared" si="126"/>
        <v>#REF!</v>
      </c>
      <c r="X202" s="61" t="e">
        <f t="shared" si="126"/>
        <v>#REF!</v>
      </c>
    </row>
    <row r="203" spans="2:24" outlineLevel="1" x14ac:dyDescent="0.2">
      <c r="E203" s="62">
        <f>+D196*(E202-$E$70)</f>
        <v>73175941.603935093</v>
      </c>
      <c r="F203" s="62">
        <f t="shared" ref="F203:X203" si="127">+E196*(F202-$E$70)</f>
        <v>85118460.510197565</v>
      </c>
      <c r="G203" s="62">
        <f t="shared" si="127"/>
        <v>102440587.97556011</v>
      </c>
      <c r="H203" s="62">
        <f t="shared" si="127"/>
        <v>121768139.02157208</v>
      </c>
      <c r="I203" s="62">
        <f t="shared" si="127"/>
        <v>-6745580.7999999998</v>
      </c>
      <c r="J203" s="62">
        <f t="shared" si="127"/>
        <v>-4824000</v>
      </c>
      <c r="K203" s="62">
        <f t="shared" si="127"/>
        <v>-4459200</v>
      </c>
      <c r="L203" s="62">
        <f t="shared" si="127"/>
        <v>-4094399.9999999995</v>
      </c>
      <c r="M203" s="62">
        <f t="shared" si="127"/>
        <v>-3729600.0000000005</v>
      </c>
      <c r="N203" s="62">
        <f t="shared" si="127"/>
        <v>-3364800</v>
      </c>
      <c r="O203" s="62" t="e">
        <f t="shared" si="127"/>
        <v>#DIV/0!</v>
      </c>
      <c r="P203" s="62" t="e">
        <f t="shared" si="127"/>
        <v>#DIV/0!</v>
      </c>
      <c r="Q203" s="62" t="e">
        <f t="shared" si="127"/>
        <v>#DIV/0!</v>
      </c>
      <c r="R203" s="62" t="e">
        <f t="shared" si="127"/>
        <v>#REF!</v>
      </c>
      <c r="S203" s="62" t="e">
        <f t="shared" si="127"/>
        <v>#REF!</v>
      </c>
      <c r="T203" s="62" t="e">
        <f t="shared" si="127"/>
        <v>#REF!</v>
      </c>
      <c r="U203" s="62" t="e">
        <f t="shared" si="127"/>
        <v>#REF!</v>
      </c>
      <c r="V203" s="62" t="e">
        <f t="shared" si="127"/>
        <v>#REF!</v>
      </c>
      <c r="W203" s="62" t="e">
        <f t="shared" si="127"/>
        <v>#REF!</v>
      </c>
      <c r="X203" s="62" t="e">
        <f t="shared" si="127"/>
        <v>#REF!</v>
      </c>
    </row>
    <row r="204" spans="2:24" outlineLevel="1" x14ac:dyDescent="0.2">
      <c r="E204" s="63">
        <f>+E201-E203</f>
        <v>0</v>
      </c>
      <c r="F204" s="63">
        <f t="shared" ref="F204:X204" si="128">+F201-F203</f>
        <v>0</v>
      </c>
      <c r="G204" s="63">
        <f t="shared" si="128"/>
        <v>0</v>
      </c>
      <c r="H204" s="63">
        <f t="shared" si="128"/>
        <v>0</v>
      </c>
      <c r="I204" s="63">
        <f t="shared" si="128"/>
        <v>0</v>
      </c>
      <c r="J204" s="63">
        <f t="shared" si="128"/>
        <v>0</v>
      </c>
      <c r="K204" s="63">
        <f t="shared" si="128"/>
        <v>0</v>
      </c>
      <c r="L204" s="63">
        <f t="shared" si="128"/>
        <v>0</v>
      </c>
      <c r="M204" s="63">
        <f t="shared" si="128"/>
        <v>0</v>
      </c>
      <c r="N204" s="63">
        <f t="shared" si="128"/>
        <v>0</v>
      </c>
      <c r="O204" s="63" t="e">
        <f t="shared" si="128"/>
        <v>#DIV/0!</v>
      </c>
      <c r="P204" s="63" t="e">
        <f t="shared" si="128"/>
        <v>#DIV/0!</v>
      </c>
      <c r="Q204" s="63" t="e">
        <f t="shared" si="128"/>
        <v>#DIV/0!</v>
      </c>
      <c r="R204" s="63" t="e">
        <f t="shared" si="128"/>
        <v>#REF!</v>
      </c>
      <c r="S204" s="63" t="e">
        <f t="shared" si="128"/>
        <v>#REF!</v>
      </c>
      <c r="T204" s="63" t="e">
        <f t="shared" si="128"/>
        <v>#REF!</v>
      </c>
      <c r="U204" s="63" t="e">
        <f t="shared" si="128"/>
        <v>#REF!</v>
      </c>
      <c r="V204" s="63" t="e">
        <f t="shared" si="128"/>
        <v>#REF!</v>
      </c>
      <c r="W204" s="63" t="e">
        <f t="shared" si="128"/>
        <v>#REF!</v>
      </c>
      <c r="X204" s="63" t="e">
        <f t="shared" si="128"/>
        <v>#REF!</v>
      </c>
    </row>
    <row r="205" spans="2:24" outlineLevel="1" x14ac:dyDescent="0.2">
      <c r="B205" s="59" t="s">
        <v>105</v>
      </c>
      <c r="E205" s="60">
        <f>+PV($E$70,E$170,0,-E201,0)</f>
        <v>65242458.634036288</v>
      </c>
      <c r="F205" s="60">
        <f t="shared" ref="F205:X205" si="129">+PV($E$70,F$170,0,-F201,0)</f>
        <v>67662456.195237562</v>
      </c>
      <c r="G205" s="60">
        <f t="shared" si="129"/>
        <v>72603584.154180124</v>
      </c>
      <c r="H205" s="60">
        <f t="shared" si="129"/>
        <v>76945223.64560841</v>
      </c>
      <c r="I205" s="60">
        <f t="shared" si="129"/>
        <v>-3800400.3167235851</v>
      </c>
      <c r="J205" s="60">
        <f t="shared" si="129"/>
        <v>-2423144.4000833384</v>
      </c>
      <c r="K205" s="60">
        <f t="shared" si="129"/>
        <v>-1997059.236340961</v>
      </c>
      <c r="L205" s="60">
        <f t="shared" si="129"/>
        <v>-1634881.4401297774</v>
      </c>
      <c r="M205" s="60">
        <f t="shared" si="129"/>
        <v>-1327762.0471224715</v>
      </c>
      <c r="N205" s="60">
        <f t="shared" si="129"/>
        <v>-1068019.6646738029</v>
      </c>
      <c r="O205" s="60">
        <f t="shared" si="129"/>
        <v>0</v>
      </c>
      <c r="P205" s="60">
        <f t="shared" si="129"/>
        <v>0</v>
      </c>
      <c r="Q205" s="60">
        <f t="shared" si="129"/>
        <v>0</v>
      </c>
      <c r="R205" s="60" t="e">
        <f t="shared" si="129"/>
        <v>#REF!</v>
      </c>
      <c r="S205" s="60" t="e">
        <f t="shared" si="129"/>
        <v>#REF!</v>
      </c>
      <c r="T205" s="60" t="e">
        <f t="shared" si="129"/>
        <v>#REF!</v>
      </c>
      <c r="U205" s="60" t="e">
        <f t="shared" si="129"/>
        <v>#REF!</v>
      </c>
      <c r="V205" s="60" t="e">
        <f t="shared" si="129"/>
        <v>#REF!</v>
      </c>
      <c r="W205" s="60" t="e">
        <f t="shared" si="129"/>
        <v>#REF!</v>
      </c>
      <c r="X205" s="60" t="e">
        <f t="shared" si="129"/>
        <v>#REF!</v>
      </c>
    </row>
    <row r="206" spans="2:24" outlineLevel="1" x14ac:dyDescent="0.2">
      <c r="E206" s="61"/>
      <c r="F206" s="63"/>
      <c r="G206" s="63"/>
      <c r="H206" s="63"/>
      <c r="I206" s="63"/>
      <c r="J206" s="63"/>
      <c r="K206" s="63"/>
      <c r="L206" s="63"/>
      <c r="M206" s="63"/>
      <c r="N206" s="63"/>
      <c r="O206" s="63"/>
      <c r="P206" s="63"/>
      <c r="Q206" s="63"/>
      <c r="R206" s="63"/>
      <c r="S206" s="63"/>
      <c r="T206" s="63"/>
      <c r="U206" s="63"/>
      <c r="V206" s="63"/>
      <c r="W206" s="63"/>
      <c r="X206" s="63"/>
    </row>
    <row r="207" spans="2:24" outlineLevel="1" x14ac:dyDescent="0.2">
      <c r="B207" s="54" t="s">
        <v>106</v>
      </c>
      <c r="C207" s="64" t="e">
        <f>+SUM(E205:X205)</f>
        <v>#REF!</v>
      </c>
      <c r="D207" s="25"/>
      <c r="E207" s="29"/>
      <c r="F207" s="25"/>
    </row>
    <row r="208" spans="2:24" outlineLevel="1" x14ac:dyDescent="0.2">
      <c r="B208" s="57" t="s">
        <v>97</v>
      </c>
      <c r="C208" s="58" t="e">
        <f>+C207-C186</f>
        <v>#REF!</v>
      </c>
      <c r="E208" s="25"/>
      <c r="F208" s="25"/>
    </row>
    <row r="210" spans="2:25" ht="15" x14ac:dyDescent="0.25">
      <c r="B210" s="49" t="s">
        <v>107</v>
      </c>
    </row>
    <row r="212" spans="2:25" outlineLevel="1" x14ac:dyDescent="0.2">
      <c r="B212" t="s">
        <v>89</v>
      </c>
      <c r="D212" s="14"/>
      <c r="E212" s="25">
        <f>+E181</f>
        <v>83096325.603935093</v>
      </c>
      <c r="F212" s="25">
        <f t="shared" ref="F212:X212" si="130">+F181</f>
        <v>94420143.710197568</v>
      </c>
      <c r="G212" s="25">
        <f t="shared" si="130"/>
        <v>111123570.3755601</v>
      </c>
      <c r="H212" s="25">
        <f t="shared" si="130"/>
        <v>129832420.62157209</v>
      </c>
      <c r="I212" s="25">
        <f t="shared" si="130"/>
        <v>0</v>
      </c>
      <c r="J212" s="25">
        <f t="shared" si="130"/>
        <v>0</v>
      </c>
      <c r="K212" s="25">
        <f t="shared" si="130"/>
        <v>0</v>
      </c>
      <c r="L212" s="25">
        <f t="shared" si="130"/>
        <v>0</v>
      </c>
      <c r="M212" s="25">
        <f t="shared" si="130"/>
        <v>0</v>
      </c>
      <c r="N212" s="25">
        <f t="shared" si="130"/>
        <v>0</v>
      </c>
      <c r="O212" s="25">
        <f t="shared" si="130"/>
        <v>0</v>
      </c>
      <c r="P212" s="25">
        <f t="shared" si="130"/>
        <v>0</v>
      </c>
      <c r="Q212" s="25">
        <f t="shared" si="130"/>
        <v>0</v>
      </c>
      <c r="R212" s="25" t="e">
        <f t="shared" si="130"/>
        <v>#REF!</v>
      </c>
      <c r="S212" s="25" t="e">
        <f t="shared" si="130"/>
        <v>#REF!</v>
      </c>
      <c r="T212" s="25" t="e">
        <f t="shared" si="130"/>
        <v>#REF!</v>
      </c>
      <c r="U212" s="25" t="e">
        <f t="shared" si="130"/>
        <v>#REF!</v>
      </c>
      <c r="V212" s="25" t="e">
        <f t="shared" si="130"/>
        <v>#REF!</v>
      </c>
      <c r="W212" s="25" t="e">
        <f t="shared" si="130"/>
        <v>#REF!</v>
      </c>
      <c r="X212" s="25" t="e">
        <f t="shared" si="130"/>
        <v>#REF!</v>
      </c>
    </row>
    <row r="213" spans="2:25" outlineLevel="1" x14ac:dyDescent="0.2">
      <c r="B213" t="s">
        <v>108</v>
      </c>
      <c r="D213" s="14"/>
      <c r="E213" s="25">
        <f>+E158</f>
        <v>3522705.8707791581</v>
      </c>
      <c r="F213" s="25">
        <f t="shared" ref="F213:X213" si="131">+F158</f>
        <v>3324535.4451836902</v>
      </c>
      <c r="G213" s="25">
        <f t="shared" si="131"/>
        <v>3098621.1600048575</v>
      </c>
      <c r="H213" s="25">
        <f t="shared" si="131"/>
        <v>2841078.8749009874</v>
      </c>
      <c r="I213" s="25">
        <f t="shared" si="131"/>
        <v>2547480.669882576</v>
      </c>
      <c r="J213" s="25">
        <f t="shared" si="131"/>
        <v>2212778.7161615877</v>
      </c>
      <c r="K213" s="25">
        <f t="shared" si="131"/>
        <v>1831218.4889196616</v>
      </c>
      <c r="L213" s="25">
        <f t="shared" si="131"/>
        <v>1396239.8298638656</v>
      </c>
      <c r="M213" s="25">
        <f t="shared" si="131"/>
        <v>900364.15854025877</v>
      </c>
      <c r="N213" s="25">
        <f t="shared" si="131"/>
        <v>335065.89323134779</v>
      </c>
      <c r="O213" s="25">
        <f t="shared" si="131"/>
        <v>0</v>
      </c>
      <c r="P213" s="25">
        <f t="shared" si="131"/>
        <v>0</v>
      </c>
      <c r="Q213" s="25">
        <f t="shared" si="131"/>
        <v>0</v>
      </c>
      <c r="R213" s="25" t="e">
        <f t="shared" si="131"/>
        <v>#REF!</v>
      </c>
      <c r="S213" s="25" t="e">
        <f t="shared" si="131"/>
        <v>#REF!</v>
      </c>
      <c r="T213" s="25" t="e">
        <f t="shared" si="131"/>
        <v>#REF!</v>
      </c>
      <c r="U213" s="25" t="e">
        <f t="shared" si="131"/>
        <v>#REF!</v>
      </c>
      <c r="V213" s="25" t="e">
        <f t="shared" si="131"/>
        <v>#REF!</v>
      </c>
      <c r="W213" s="25" t="e">
        <f t="shared" si="131"/>
        <v>#REF!</v>
      </c>
      <c r="X213" s="25" t="e">
        <f t="shared" si="131"/>
        <v>#REF!</v>
      </c>
    </row>
    <row r="214" spans="2:25" outlineLevel="1" x14ac:dyDescent="0.2">
      <c r="B214" t="s">
        <v>109</v>
      </c>
      <c r="D214" s="14"/>
      <c r="E214" s="25">
        <f>+'Tabla de Amortización'!L42</f>
        <v>1415503.0399676405</v>
      </c>
      <c r="F214" s="25">
        <f>+'Tabla de Amortización'!M42</f>
        <v>1613673.4655631087</v>
      </c>
      <c r="G214" s="25">
        <f>+'Tabla de Amortización'!N42</f>
        <v>1839587.7507419419</v>
      </c>
      <c r="H214" s="25">
        <f>+'Tabla de Amortización'!O42</f>
        <v>2097130.0358458115</v>
      </c>
      <c r="I214" s="25">
        <f>+'Tabla de Amortización'!P42</f>
        <v>2390728.2408642224</v>
      </c>
      <c r="J214" s="25">
        <f>+'Tabla de Amortización'!Q42</f>
        <v>2725430.1945852111</v>
      </c>
      <c r="K214" s="25">
        <f>+'Tabla de Amortización'!R42</f>
        <v>3106990.4218271384</v>
      </c>
      <c r="L214" s="25">
        <f>+'Tabla de Amortización'!S42</f>
        <v>3541969.0808829339</v>
      </c>
      <c r="M214" s="25">
        <f>+'Tabla de Amortización'!T42</f>
        <v>4037844.7522065397</v>
      </c>
      <c r="N214" s="25">
        <f>+'Tabla de Amortización'!U42</f>
        <v>4603143.0175154507</v>
      </c>
      <c r="O214" s="25">
        <f>+'Tabla de Amortización'!V42</f>
        <v>0</v>
      </c>
      <c r="P214" s="25">
        <f>+'Tabla de Amortización'!W42</f>
        <v>0</v>
      </c>
      <c r="Q214" s="25">
        <f>+'Tabla de Amortización'!X42</f>
        <v>0</v>
      </c>
      <c r="R214" s="25">
        <f>+'Tabla de Amortización'!Y42</f>
        <v>0</v>
      </c>
      <c r="S214" s="25">
        <f>+'Tabla de Amortización'!Z42</f>
        <v>0</v>
      </c>
      <c r="T214" s="25">
        <f>+'Tabla de Amortización'!AA42</f>
        <v>0</v>
      </c>
      <c r="U214" s="25">
        <f>+'Tabla de Amortización'!AB42</f>
        <v>0</v>
      </c>
      <c r="V214" s="25">
        <f>+'Tabla de Amortización'!AC42</f>
        <v>0</v>
      </c>
      <c r="W214" s="25">
        <f>+'Tabla de Amortización'!AD42</f>
        <v>0</v>
      </c>
      <c r="X214" s="25">
        <f>+'Tabla de Amortización'!AE42</f>
        <v>0</v>
      </c>
      <c r="Y214" s="25">
        <f>+'Tabla de Amortización'!AF42</f>
        <v>0</v>
      </c>
    </row>
    <row r="215" spans="2:25" outlineLevel="1" x14ac:dyDescent="0.2">
      <c r="B215" t="s">
        <v>110</v>
      </c>
      <c r="D215" s="14"/>
      <c r="E215" s="65">
        <f>-E162</f>
        <v>42000834.396064915</v>
      </c>
      <c r="F215" s="25">
        <f>-F162-SUM($E215:E215)</f>
        <v>5731394.2597375512</v>
      </c>
      <c r="G215" s="25">
        <f>-G162-SUM($E215:F215)</f>
        <v>8488415.4685794935</v>
      </c>
      <c r="H215" s="25">
        <f>-H162-SUM($E215:G215)</f>
        <v>9505219.2525890321</v>
      </c>
      <c r="I215" s="25">
        <f>-I162-SUM($E215:H215)</f>
        <v>-65725863.376970991</v>
      </c>
      <c r="J215" s="25">
        <f>-J162-SUM($E215:I215)</f>
        <v>0</v>
      </c>
      <c r="K215" s="25">
        <f>-K162-SUM($E215:J215)</f>
        <v>0</v>
      </c>
      <c r="L215" s="25">
        <f>-L162-SUM($E215:K215)</f>
        <v>0</v>
      </c>
      <c r="M215" s="25">
        <f>-M162-SUM($E215:L215)</f>
        <v>0</v>
      </c>
      <c r="N215" s="25">
        <f>-N162-SUM($E215:M215)</f>
        <v>0</v>
      </c>
      <c r="O215" s="25">
        <f>-O162-SUM($E215:N215)</f>
        <v>0</v>
      </c>
      <c r="P215" s="25">
        <f>-P162-SUM($E215:O215)</f>
        <v>0</v>
      </c>
      <c r="Q215" s="25">
        <f>-Q162-SUM($E215:P215)</f>
        <v>0</v>
      </c>
      <c r="R215" s="25" t="e">
        <f>-R162-SUM($E215:Q215)</f>
        <v>#REF!</v>
      </c>
      <c r="S215" s="25" t="e">
        <f>-S162-SUM($E215:R215)</f>
        <v>#REF!</v>
      </c>
      <c r="T215" s="25" t="e">
        <f>-T162-SUM($E215:S215)</f>
        <v>#REF!</v>
      </c>
      <c r="U215" s="25" t="e">
        <f>-U162-SUM($E215:T215)</f>
        <v>#REF!</v>
      </c>
      <c r="V215" s="25" t="e">
        <f>-V162-SUM($E215:U215)</f>
        <v>#REF!</v>
      </c>
      <c r="W215" s="25" t="e">
        <f>-W162-SUM($E215:V215)</f>
        <v>#REF!</v>
      </c>
      <c r="X215" s="25" t="e">
        <f>-X162-SUM($E215:W215)</f>
        <v>#REF!</v>
      </c>
    </row>
    <row r="216" spans="2:25" outlineLevel="1" x14ac:dyDescent="0.2">
      <c r="B216" t="s">
        <v>111</v>
      </c>
      <c r="D216" s="14"/>
      <c r="E216" s="65">
        <f>+E167</f>
        <v>48918618.884828545</v>
      </c>
      <c r="F216" s="25">
        <f>+F167-SUM($E216:E216)</f>
        <v>6675388.6084002107</v>
      </c>
      <c r="G216" s="25">
        <f>+G167-SUM($E216:F216)</f>
        <v>9886507.4281102195</v>
      </c>
      <c r="H216" s="25">
        <f>+H167-SUM($E216:G216)</f>
        <v>11070784.776544869</v>
      </c>
      <c r="I216" s="25">
        <f>+I167-SUM($E216:H216)</f>
        <v>-76551299.697883844</v>
      </c>
      <c r="J216" s="25">
        <f>+J167-SUM($E216:I216)</f>
        <v>0</v>
      </c>
      <c r="K216" s="25">
        <f>+K167-SUM($E216:J216)</f>
        <v>0</v>
      </c>
      <c r="L216" s="25">
        <f>+L167-SUM($E216:K216)</f>
        <v>0</v>
      </c>
      <c r="M216" s="25">
        <f>+M167-SUM($E216:L216)</f>
        <v>0</v>
      </c>
      <c r="N216" s="25">
        <f>+N167-SUM($E216:M216)</f>
        <v>0</v>
      </c>
      <c r="O216" s="25">
        <f>+O167-SUM($E216:N216)</f>
        <v>0</v>
      </c>
      <c r="P216" s="25">
        <f>+P167-SUM($E216:O216)</f>
        <v>0</v>
      </c>
      <c r="Q216" s="25">
        <f>+Q167-SUM($E216:P216)</f>
        <v>0</v>
      </c>
      <c r="R216" s="25" t="e">
        <f>+R167-SUM($E216:Q216)</f>
        <v>#REF!</v>
      </c>
      <c r="S216" s="25" t="e">
        <f>+S167-SUM($E216:R216)</f>
        <v>#REF!</v>
      </c>
      <c r="T216" s="25" t="e">
        <f>+T167-SUM($E216:S216)</f>
        <v>#REF!</v>
      </c>
      <c r="U216" s="25" t="e">
        <f>+U167-SUM($E216:T216)</f>
        <v>#REF!</v>
      </c>
      <c r="V216" s="25" t="e">
        <f>+V167-SUM($E216:U216)</f>
        <v>#REF!</v>
      </c>
      <c r="W216" s="25" t="e">
        <f>+W167-SUM($E216:V216)</f>
        <v>#REF!</v>
      </c>
      <c r="X216" s="25" t="e">
        <f>+X167-SUM($E216:W216)</f>
        <v>#REF!</v>
      </c>
    </row>
    <row r="217" spans="2:25" outlineLevel="1" x14ac:dyDescent="0.2">
      <c r="B217" t="s">
        <v>112</v>
      </c>
      <c r="D217" s="14"/>
      <c r="E217" s="65">
        <f>+E166</f>
        <v>8153103.1474714251</v>
      </c>
      <c r="F217" s="25">
        <f>+F166-SUM($E217:E217)</f>
        <v>1112564.7680667015</v>
      </c>
      <c r="G217" s="25">
        <f>+G166-SUM($E217:F217)</f>
        <v>1647751.2380183693</v>
      </c>
      <c r="H217" s="25">
        <f>+H166-SUM($E217:G217)</f>
        <v>1845130.7960908134</v>
      </c>
      <c r="I217" s="25">
        <f>+I166-SUM($E217:H217)</f>
        <v>-12758549.949647309</v>
      </c>
      <c r="J217" s="25">
        <f>+J166-SUM($E217:I217)</f>
        <v>0</v>
      </c>
      <c r="K217" s="25">
        <f>+K166-SUM($E217:J217)</f>
        <v>0</v>
      </c>
      <c r="L217" s="25">
        <f>+L166-SUM($E217:K217)</f>
        <v>0</v>
      </c>
      <c r="M217" s="25">
        <f>+M166-SUM($E217:L217)</f>
        <v>0</v>
      </c>
      <c r="N217" s="25">
        <f>+N166-SUM($E217:M217)</f>
        <v>0</v>
      </c>
      <c r="O217" s="25">
        <f>+O166-SUM($E217:N217)</f>
        <v>0</v>
      </c>
      <c r="P217" s="25">
        <f>+P166-SUM($E217:O217)</f>
        <v>0</v>
      </c>
      <c r="Q217" s="25">
        <f>+Q166-SUM($E217:P217)</f>
        <v>0</v>
      </c>
      <c r="R217" s="25" t="e">
        <f>+R166-SUM($E217:Q217)</f>
        <v>#REF!</v>
      </c>
      <c r="S217" s="25" t="e">
        <f>+S166-SUM($E217:R217)</f>
        <v>#REF!</v>
      </c>
      <c r="T217" s="25" t="e">
        <f>+T166-SUM($E217:S217)</f>
        <v>#REF!</v>
      </c>
      <c r="U217" s="25" t="e">
        <f>+U166-SUM($E217:T217)</f>
        <v>#REF!</v>
      </c>
      <c r="V217" s="25" t="e">
        <f>+V166-SUM($E217:U217)</f>
        <v>#REF!</v>
      </c>
      <c r="W217" s="25" t="e">
        <f>+W166-SUM($E217:V217)</f>
        <v>#REF!</v>
      </c>
      <c r="X217" s="25" t="e">
        <f>+X166-SUM($E217:W217)</f>
        <v>#REF!</v>
      </c>
    </row>
    <row r="218" spans="2:25" outlineLevel="1" x14ac:dyDescent="0.2"/>
    <row r="219" spans="2:25" outlineLevel="1" x14ac:dyDescent="0.2">
      <c r="B219" t="s">
        <v>113</v>
      </c>
      <c r="D219" s="25">
        <v>45620000</v>
      </c>
    </row>
    <row r="220" spans="2:25" outlineLevel="1" x14ac:dyDescent="0.2"/>
    <row r="221" spans="2:25" outlineLevel="1" x14ac:dyDescent="0.2">
      <c r="B221" t="s">
        <v>114</v>
      </c>
      <c r="D221" s="25"/>
      <c r="E221" s="25">
        <f>+D223</f>
        <v>0</v>
      </c>
      <c r="F221" s="25">
        <f t="shared" ref="F221:X221" si="132">+E223</f>
        <v>187107090.94304678</v>
      </c>
      <c r="G221" s="25">
        <f t="shared" si="132"/>
        <v>299984791.20019561</v>
      </c>
      <c r="H221" s="25">
        <f t="shared" si="132"/>
        <v>436069244.62121058</v>
      </c>
      <c r="I221" s="25">
        <f t="shared" si="132"/>
        <v>593261008.97875416</v>
      </c>
      <c r="J221" s="25">
        <f t="shared" si="132"/>
        <v>443163504.86499882</v>
      </c>
      <c r="K221" s="25">
        <f t="shared" si="132"/>
        <v>448101713.77574563</v>
      </c>
      <c r="L221" s="25">
        <f t="shared" si="132"/>
        <v>453039922.68649244</v>
      </c>
      <c r="M221" s="25">
        <f t="shared" si="132"/>
        <v>457978131.59723926</v>
      </c>
      <c r="N221" s="25">
        <f t="shared" si="132"/>
        <v>462916340.50798607</v>
      </c>
      <c r="O221" s="25">
        <f t="shared" si="132"/>
        <v>467854549.41873288</v>
      </c>
      <c r="P221" s="25">
        <f t="shared" si="132"/>
        <v>467854549.41873288</v>
      </c>
      <c r="Q221" s="25">
        <f t="shared" si="132"/>
        <v>467854549.41873288</v>
      </c>
      <c r="R221" s="25">
        <f t="shared" si="132"/>
        <v>467854549.41873288</v>
      </c>
      <c r="S221" s="25" t="e">
        <f t="shared" si="132"/>
        <v>#REF!</v>
      </c>
      <c r="T221" s="25" t="e">
        <f t="shared" si="132"/>
        <v>#REF!</v>
      </c>
      <c r="U221" s="25" t="e">
        <f t="shared" si="132"/>
        <v>#REF!</v>
      </c>
      <c r="V221" s="25" t="e">
        <f t="shared" si="132"/>
        <v>#REF!</v>
      </c>
      <c r="W221" s="25" t="e">
        <f t="shared" si="132"/>
        <v>#REF!</v>
      </c>
      <c r="X221" s="25" t="e">
        <f t="shared" si="132"/>
        <v>#REF!</v>
      </c>
    </row>
    <row r="222" spans="2:25" outlineLevel="1" x14ac:dyDescent="0.2"/>
    <row r="223" spans="2:25" outlineLevel="1" x14ac:dyDescent="0.2">
      <c r="B223" s="50" t="s">
        <v>115</v>
      </c>
      <c r="D223" s="51">
        <v>0</v>
      </c>
      <c r="E223" s="51">
        <f>+SUM(E212:E221)</f>
        <v>187107090.94304678</v>
      </c>
      <c r="F223" s="51">
        <f t="shared" ref="F223:N223" si="133">+SUM(F212:F221)</f>
        <v>299984791.20019561</v>
      </c>
      <c r="G223" s="51">
        <f t="shared" si="133"/>
        <v>436069244.62121058</v>
      </c>
      <c r="H223" s="51">
        <f t="shared" si="133"/>
        <v>593261008.97875416</v>
      </c>
      <c r="I223" s="51">
        <f t="shared" si="133"/>
        <v>443163504.86499882</v>
      </c>
      <c r="J223" s="51">
        <f t="shared" si="133"/>
        <v>448101713.77574563</v>
      </c>
      <c r="K223" s="51">
        <f t="shared" si="133"/>
        <v>453039922.68649244</v>
      </c>
      <c r="L223" s="51">
        <f t="shared" si="133"/>
        <v>457978131.59723926</v>
      </c>
      <c r="M223" s="51">
        <f t="shared" si="133"/>
        <v>462916340.50798607</v>
      </c>
      <c r="N223" s="51">
        <f t="shared" si="133"/>
        <v>467854549.41873288</v>
      </c>
      <c r="O223" s="51">
        <f t="shared" ref="O223:X223" si="134">+SUM(O212:O221)</f>
        <v>467854549.41873288</v>
      </c>
      <c r="P223" s="51">
        <f t="shared" si="134"/>
        <v>467854549.41873288</v>
      </c>
      <c r="Q223" s="51">
        <f t="shared" si="134"/>
        <v>467854549.41873288</v>
      </c>
      <c r="R223" s="51" t="e">
        <f t="shared" si="134"/>
        <v>#REF!</v>
      </c>
      <c r="S223" s="51" t="e">
        <f t="shared" si="134"/>
        <v>#REF!</v>
      </c>
      <c r="T223" s="51" t="e">
        <f t="shared" si="134"/>
        <v>#REF!</v>
      </c>
      <c r="U223" s="51" t="e">
        <f t="shared" si="134"/>
        <v>#REF!</v>
      </c>
      <c r="V223" s="51" t="e">
        <f t="shared" si="134"/>
        <v>#REF!</v>
      </c>
      <c r="W223" s="51" t="e">
        <f t="shared" si="134"/>
        <v>#REF!</v>
      </c>
      <c r="X223" s="51" t="e">
        <f t="shared" si="134"/>
        <v>#REF!</v>
      </c>
    </row>
    <row r="225" spans="2:24" ht="15" x14ac:dyDescent="0.25">
      <c r="B225" s="49" t="s">
        <v>116</v>
      </c>
    </row>
    <row r="227" spans="2:24" outlineLevel="1" x14ac:dyDescent="0.2">
      <c r="B227" s="8" t="s">
        <v>117</v>
      </c>
      <c r="D227" s="42">
        <f>+D229+D235+D250+D247</f>
        <v>39740000</v>
      </c>
      <c r="E227" s="42">
        <f t="shared" ref="E227:X227" si="135">+E229+E235+E250+E247</f>
        <v>221759090.94304678</v>
      </c>
      <c r="F227" s="42">
        <f t="shared" si="135"/>
        <v>329548791.20019561</v>
      </c>
      <c r="G227" s="42">
        <f t="shared" si="135"/>
        <v>460545244.62121058</v>
      </c>
      <c r="H227" s="42">
        <f t="shared" si="135"/>
        <v>612649008.97875416</v>
      </c>
      <c r="I227" s="42">
        <f t="shared" si="135"/>
        <v>458163504.86499882</v>
      </c>
      <c r="J227" s="42">
        <f t="shared" si="135"/>
        <v>460101713.77574563</v>
      </c>
      <c r="K227" s="42">
        <f t="shared" si="135"/>
        <v>462039922.68649244</v>
      </c>
      <c r="L227" s="42">
        <f t="shared" si="135"/>
        <v>463978131.59723926</v>
      </c>
      <c r="M227" s="42">
        <f t="shared" si="135"/>
        <v>465916340.50798607</v>
      </c>
      <c r="N227" s="42">
        <f t="shared" si="135"/>
        <v>467854549.41873288</v>
      </c>
      <c r="O227" s="42">
        <f t="shared" si="135"/>
        <v>467854549.41873288</v>
      </c>
      <c r="P227" s="42">
        <f t="shared" si="135"/>
        <v>467854549.41873288</v>
      </c>
      <c r="Q227" s="42">
        <f t="shared" si="135"/>
        <v>467854549.41873288</v>
      </c>
      <c r="R227" s="42" t="e">
        <f t="shared" si="135"/>
        <v>#REF!</v>
      </c>
      <c r="S227" s="42" t="e">
        <f t="shared" si="135"/>
        <v>#REF!</v>
      </c>
      <c r="T227" s="42" t="e">
        <f t="shared" si="135"/>
        <v>#REF!</v>
      </c>
      <c r="U227" s="42" t="e">
        <f t="shared" si="135"/>
        <v>#REF!</v>
      </c>
      <c r="V227" s="42" t="e">
        <f t="shared" si="135"/>
        <v>#REF!</v>
      </c>
      <c r="W227" s="42" t="e">
        <f t="shared" si="135"/>
        <v>#REF!</v>
      </c>
      <c r="X227" s="42" t="e">
        <f t="shared" si="135"/>
        <v>#REF!</v>
      </c>
    </row>
    <row r="228" spans="2:24" outlineLevel="1" x14ac:dyDescent="0.2">
      <c r="B228" s="8"/>
      <c r="D228" s="25"/>
      <c r="E228" s="25"/>
      <c r="F228" s="25"/>
      <c r="G228" s="25"/>
      <c r="H228" s="25"/>
      <c r="I228" s="25"/>
      <c r="J228" s="25"/>
      <c r="K228" s="25"/>
      <c r="L228" s="25"/>
      <c r="M228" s="25"/>
      <c r="N228" s="25"/>
      <c r="O228" s="25"/>
      <c r="P228" s="25"/>
      <c r="Q228" s="25"/>
      <c r="R228" s="25"/>
      <c r="S228" s="25"/>
      <c r="T228" s="25"/>
      <c r="U228" s="25"/>
      <c r="V228" s="25"/>
      <c r="W228" s="25"/>
      <c r="X228" s="25"/>
    </row>
    <row r="229" spans="2:24" outlineLevel="1" x14ac:dyDescent="0.2">
      <c r="B229" s="66" t="s">
        <v>118</v>
      </c>
      <c r="D229" s="67">
        <f>+SUM(D231:D233)</f>
        <v>0</v>
      </c>
      <c r="E229" s="67">
        <f t="shared" ref="E229:O229" si="136">+SUM(E231:E233)</f>
        <v>187107090.94304678</v>
      </c>
      <c r="F229" s="67">
        <f t="shared" si="136"/>
        <v>299984791.20019561</v>
      </c>
      <c r="G229" s="67">
        <f t="shared" si="136"/>
        <v>436069244.62121058</v>
      </c>
      <c r="H229" s="67">
        <f t="shared" si="136"/>
        <v>593261008.97875416</v>
      </c>
      <c r="I229" s="67">
        <f t="shared" si="136"/>
        <v>443163504.86499882</v>
      </c>
      <c r="J229" s="67">
        <f t="shared" si="136"/>
        <v>448101713.77574563</v>
      </c>
      <c r="K229" s="67">
        <f t="shared" si="136"/>
        <v>453039922.68649244</v>
      </c>
      <c r="L229" s="67">
        <f t="shared" si="136"/>
        <v>457978131.59723926</v>
      </c>
      <c r="M229" s="67">
        <f t="shared" si="136"/>
        <v>462916340.50798607</v>
      </c>
      <c r="N229" s="67">
        <f t="shared" si="136"/>
        <v>467854549.41873288</v>
      </c>
      <c r="O229" s="67">
        <f t="shared" si="136"/>
        <v>467854549.41873288</v>
      </c>
      <c r="P229" s="67">
        <f t="shared" ref="P229:X229" si="137">+SUM(P231:P233)</f>
        <v>467854549.41873288</v>
      </c>
      <c r="Q229" s="67">
        <f t="shared" si="137"/>
        <v>467854549.41873288</v>
      </c>
      <c r="R229" s="67" t="e">
        <f t="shared" si="137"/>
        <v>#REF!</v>
      </c>
      <c r="S229" s="67" t="e">
        <f t="shared" si="137"/>
        <v>#REF!</v>
      </c>
      <c r="T229" s="67" t="e">
        <f t="shared" si="137"/>
        <v>#REF!</v>
      </c>
      <c r="U229" s="67" t="e">
        <f t="shared" si="137"/>
        <v>#REF!</v>
      </c>
      <c r="V229" s="67" t="e">
        <f t="shared" si="137"/>
        <v>#REF!</v>
      </c>
      <c r="W229" s="67" t="e">
        <f t="shared" si="137"/>
        <v>#REF!</v>
      </c>
      <c r="X229" s="67" t="e">
        <f t="shared" si="137"/>
        <v>#REF!</v>
      </c>
    </row>
    <row r="230" spans="2:24" outlineLevel="1" x14ac:dyDescent="0.2">
      <c r="B230" s="66"/>
      <c r="D230" s="25"/>
      <c r="E230" s="25"/>
      <c r="F230" s="25"/>
      <c r="G230" s="25"/>
      <c r="H230" s="25"/>
      <c r="I230" s="25"/>
      <c r="J230" s="25"/>
      <c r="K230" s="25"/>
      <c r="L230" s="25"/>
      <c r="M230" s="25"/>
      <c r="N230" s="25"/>
      <c r="O230" s="25"/>
      <c r="P230" s="25"/>
      <c r="Q230" s="25"/>
      <c r="R230" s="25"/>
      <c r="S230" s="25"/>
      <c r="T230" s="25"/>
      <c r="U230" s="25"/>
      <c r="V230" s="25"/>
      <c r="W230" s="25"/>
      <c r="X230" s="25"/>
    </row>
    <row r="231" spans="2:24" outlineLevel="1" x14ac:dyDescent="0.2">
      <c r="B231" s="17" t="s">
        <v>119</v>
      </c>
      <c r="D231" s="25">
        <f>+D223</f>
        <v>0</v>
      </c>
      <c r="E231" s="25">
        <f t="shared" ref="E231:X231" si="138">+E223</f>
        <v>187107090.94304678</v>
      </c>
      <c r="F231" s="25">
        <f t="shared" si="138"/>
        <v>299984791.20019561</v>
      </c>
      <c r="G231" s="25">
        <f t="shared" si="138"/>
        <v>436069244.62121058</v>
      </c>
      <c r="H231" s="25">
        <f t="shared" si="138"/>
        <v>593261008.97875416</v>
      </c>
      <c r="I231" s="25">
        <f t="shared" si="138"/>
        <v>443163504.86499882</v>
      </c>
      <c r="J231" s="25">
        <f t="shared" si="138"/>
        <v>448101713.77574563</v>
      </c>
      <c r="K231" s="25">
        <f t="shared" si="138"/>
        <v>453039922.68649244</v>
      </c>
      <c r="L231" s="25">
        <f t="shared" si="138"/>
        <v>457978131.59723926</v>
      </c>
      <c r="M231" s="25">
        <f t="shared" si="138"/>
        <v>462916340.50798607</v>
      </c>
      <c r="N231" s="25">
        <f t="shared" si="138"/>
        <v>467854549.41873288</v>
      </c>
      <c r="O231" s="25">
        <f t="shared" si="138"/>
        <v>467854549.41873288</v>
      </c>
      <c r="P231" s="25">
        <f t="shared" si="138"/>
        <v>467854549.41873288</v>
      </c>
      <c r="Q231" s="25">
        <f t="shared" si="138"/>
        <v>467854549.41873288</v>
      </c>
      <c r="R231" s="25" t="e">
        <f t="shared" si="138"/>
        <v>#REF!</v>
      </c>
      <c r="S231" s="25" t="e">
        <f t="shared" si="138"/>
        <v>#REF!</v>
      </c>
      <c r="T231" s="25" t="e">
        <f t="shared" si="138"/>
        <v>#REF!</v>
      </c>
      <c r="U231" s="25" t="e">
        <f t="shared" si="138"/>
        <v>#REF!</v>
      </c>
      <c r="V231" s="25" t="e">
        <f t="shared" si="138"/>
        <v>#REF!</v>
      </c>
      <c r="W231" s="25" t="e">
        <f t="shared" si="138"/>
        <v>#REF!</v>
      </c>
      <c r="X231" s="25" t="e">
        <f t="shared" si="138"/>
        <v>#REF!</v>
      </c>
    </row>
    <row r="232" spans="2:24" outlineLevel="1" x14ac:dyDescent="0.2">
      <c r="B232" s="17" t="s">
        <v>19</v>
      </c>
      <c r="D232" s="14"/>
      <c r="E232" s="25">
        <f>+E61*E$2</f>
        <v>3.1349999999999994E-48</v>
      </c>
      <c r="F232" s="25">
        <f t="shared" ref="F232:X233" si="139">+F61*F$2</f>
        <v>0</v>
      </c>
      <c r="G232" s="25">
        <f t="shared" si="139"/>
        <v>0</v>
      </c>
      <c r="H232" s="25">
        <f t="shared" si="139"/>
        <v>0</v>
      </c>
      <c r="I232" s="25">
        <f t="shared" si="139"/>
        <v>0</v>
      </c>
      <c r="J232" s="25">
        <f t="shared" si="139"/>
        <v>0</v>
      </c>
      <c r="K232" s="25">
        <f t="shared" si="139"/>
        <v>0</v>
      </c>
      <c r="L232" s="25">
        <f t="shared" si="139"/>
        <v>0</v>
      </c>
      <c r="M232" s="25">
        <f t="shared" si="139"/>
        <v>0</v>
      </c>
      <c r="N232" s="25">
        <f t="shared" si="139"/>
        <v>0</v>
      </c>
      <c r="O232" s="25">
        <f t="shared" si="139"/>
        <v>0</v>
      </c>
      <c r="P232" s="25">
        <f t="shared" si="139"/>
        <v>0</v>
      </c>
      <c r="Q232" s="25">
        <f t="shared" si="139"/>
        <v>0</v>
      </c>
      <c r="R232" s="25">
        <f t="shared" si="139"/>
        <v>0</v>
      </c>
      <c r="S232" s="25">
        <f t="shared" si="139"/>
        <v>0</v>
      </c>
      <c r="T232" s="25">
        <f t="shared" si="139"/>
        <v>0</v>
      </c>
      <c r="U232" s="25">
        <f t="shared" si="139"/>
        <v>0</v>
      </c>
      <c r="V232" s="25">
        <f t="shared" si="139"/>
        <v>0</v>
      </c>
      <c r="W232" s="25">
        <f t="shared" si="139"/>
        <v>0</v>
      </c>
      <c r="X232" s="25">
        <f t="shared" si="139"/>
        <v>0</v>
      </c>
    </row>
    <row r="233" spans="2:24" outlineLevel="1" x14ac:dyDescent="0.2">
      <c r="B233" s="17" t="s">
        <v>20</v>
      </c>
      <c r="D233" s="14"/>
      <c r="E233" s="25">
        <f>+E62*E$2</f>
        <v>0</v>
      </c>
      <c r="F233" s="25">
        <f t="shared" si="139"/>
        <v>0</v>
      </c>
      <c r="G233" s="25">
        <f t="shared" si="139"/>
        <v>0</v>
      </c>
      <c r="H233" s="25">
        <f t="shared" si="139"/>
        <v>0</v>
      </c>
      <c r="I233" s="25">
        <f t="shared" si="139"/>
        <v>0</v>
      </c>
      <c r="J233" s="25">
        <f t="shared" si="139"/>
        <v>0</v>
      </c>
      <c r="K233" s="25">
        <f t="shared" si="139"/>
        <v>0</v>
      </c>
      <c r="L233" s="25">
        <f t="shared" si="139"/>
        <v>0</v>
      </c>
      <c r="M233" s="25">
        <f t="shared" si="139"/>
        <v>0</v>
      </c>
      <c r="N233" s="25">
        <f t="shared" si="139"/>
        <v>0</v>
      </c>
      <c r="O233" s="25">
        <f t="shared" si="139"/>
        <v>0</v>
      </c>
      <c r="P233" s="25">
        <f t="shared" si="139"/>
        <v>0</v>
      </c>
      <c r="Q233" s="25">
        <f t="shared" si="139"/>
        <v>0</v>
      </c>
      <c r="R233" s="25">
        <f t="shared" si="139"/>
        <v>0</v>
      </c>
      <c r="S233" s="25">
        <f t="shared" si="139"/>
        <v>0</v>
      </c>
      <c r="T233" s="25">
        <f t="shared" si="139"/>
        <v>0</v>
      </c>
      <c r="U233" s="25">
        <f t="shared" si="139"/>
        <v>0</v>
      </c>
      <c r="V233" s="25">
        <f t="shared" si="139"/>
        <v>0</v>
      </c>
      <c r="W233" s="25">
        <f t="shared" si="139"/>
        <v>0</v>
      </c>
      <c r="X233" s="25">
        <f t="shared" si="139"/>
        <v>0</v>
      </c>
    </row>
    <row r="234" spans="2:24" outlineLevel="1" x14ac:dyDescent="0.2">
      <c r="D234" s="25"/>
      <c r="E234" s="25"/>
      <c r="F234" s="25"/>
      <c r="G234" s="25"/>
      <c r="H234" s="25"/>
      <c r="I234" s="25"/>
      <c r="J234" s="25"/>
      <c r="K234" s="25"/>
      <c r="L234" s="25"/>
      <c r="M234" s="25"/>
      <c r="N234" s="25"/>
      <c r="O234" s="25"/>
      <c r="P234" s="25"/>
      <c r="Q234" s="25"/>
      <c r="R234" s="25"/>
      <c r="S234" s="25"/>
      <c r="T234" s="25"/>
      <c r="U234" s="25"/>
      <c r="V234" s="25"/>
      <c r="W234" s="25"/>
      <c r="X234" s="25"/>
    </row>
    <row r="235" spans="2:24" outlineLevel="1" x14ac:dyDescent="0.2">
      <c r="B235" s="66" t="s">
        <v>120</v>
      </c>
      <c r="D235" s="67">
        <f>+D245</f>
        <v>36940000</v>
      </c>
      <c r="E235" s="67">
        <f t="shared" ref="E235:X235" si="140">+E245</f>
        <v>32552000</v>
      </c>
      <c r="F235" s="67">
        <f t="shared" si="140"/>
        <v>28164000</v>
      </c>
      <c r="G235" s="67">
        <f t="shared" si="140"/>
        <v>23776000</v>
      </c>
      <c r="H235" s="67">
        <f t="shared" si="140"/>
        <v>19388000</v>
      </c>
      <c r="I235" s="67">
        <f t="shared" si="140"/>
        <v>15000000</v>
      </c>
      <c r="J235" s="67">
        <f t="shared" si="140"/>
        <v>12000000</v>
      </c>
      <c r="K235" s="67">
        <f t="shared" si="140"/>
        <v>9000000</v>
      </c>
      <c r="L235" s="67">
        <f t="shared" si="140"/>
        <v>6000000</v>
      </c>
      <c r="M235" s="67">
        <f t="shared" si="140"/>
        <v>3000000</v>
      </c>
      <c r="N235" s="67">
        <f t="shared" si="140"/>
        <v>0</v>
      </c>
      <c r="O235" s="67">
        <f t="shared" si="140"/>
        <v>0</v>
      </c>
      <c r="P235" s="67">
        <f t="shared" si="140"/>
        <v>0</v>
      </c>
      <c r="Q235" s="67">
        <f t="shared" si="140"/>
        <v>0</v>
      </c>
      <c r="R235" s="67">
        <f t="shared" si="140"/>
        <v>0</v>
      </c>
      <c r="S235" s="67">
        <f t="shared" si="140"/>
        <v>0</v>
      </c>
      <c r="T235" s="67">
        <f t="shared" si="140"/>
        <v>0</v>
      </c>
      <c r="U235" s="67">
        <f t="shared" si="140"/>
        <v>0</v>
      </c>
      <c r="V235" s="67">
        <f t="shared" si="140"/>
        <v>0</v>
      </c>
      <c r="W235" s="67">
        <f t="shared" si="140"/>
        <v>0</v>
      </c>
      <c r="X235" s="67">
        <f t="shared" si="140"/>
        <v>0</v>
      </c>
    </row>
    <row r="236" spans="2:24" outlineLevel="1" x14ac:dyDescent="0.2">
      <c r="D236" s="25"/>
      <c r="E236" s="25"/>
      <c r="F236" s="25"/>
      <c r="G236" s="25"/>
      <c r="H236" s="25"/>
      <c r="I236" s="25"/>
      <c r="J236" s="25"/>
      <c r="K236" s="25"/>
      <c r="L236" s="25"/>
      <c r="M236" s="25"/>
      <c r="N236" s="25"/>
      <c r="O236" s="25"/>
      <c r="P236" s="25"/>
      <c r="Q236" s="25"/>
      <c r="R236" s="25"/>
      <c r="S236" s="25"/>
      <c r="T236" s="25"/>
      <c r="U236" s="25"/>
      <c r="V236" s="25"/>
      <c r="W236" s="25"/>
      <c r="X236" s="25"/>
    </row>
    <row r="237" spans="2:24" outlineLevel="1" x14ac:dyDescent="0.2">
      <c r="B237" s="17" t="str">
        <f t="shared" ref="B237:B243" si="141">+B114</f>
        <v>Equipo de cómputo</v>
      </c>
      <c r="D237" s="65">
        <f t="shared" ref="D237:D243" si="142">+D114</f>
        <v>2600000</v>
      </c>
      <c r="E237" s="25">
        <f t="shared" ref="E237:X243" si="143">IF(C114&gt;$A$17,(D237-E114),(D237-E114)*E$2)</f>
        <v>2080000</v>
      </c>
      <c r="F237" s="25">
        <f t="shared" si="143"/>
        <v>1560000</v>
      </c>
      <c r="G237" s="25">
        <f t="shared" si="143"/>
        <v>1040000</v>
      </c>
      <c r="H237" s="25">
        <f t="shared" si="143"/>
        <v>520000</v>
      </c>
      <c r="I237" s="25">
        <f t="shared" si="143"/>
        <v>0</v>
      </c>
      <c r="J237" s="25">
        <f t="shared" si="143"/>
        <v>0</v>
      </c>
      <c r="K237" s="25">
        <f t="shared" si="143"/>
        <v>0</v>
      </c>
      <c r="L237" s="25">
        <f t="shared" si="143"/>
        <v>0</v>
      </c>
      <c r="M237" s="25">
        <f t="shared" si="143"/>
        <v>0</v>
      </c>
      <c r="N237" s="25">
        <f t="shared" si="143"/>
        <v>0</v>
      </c>
      <c r="O237" s="25">
        <f t="shared" si="143"/>
        <v>0</v>
      </c>
      <c r="P237" s="25">
        <f t="shared" si="143"/>
        <v>0</v>
      </c>
      <c r="Q237" s="25">
        <f t="shared" si="143"/>
        <v>0</v>
      </c>
      <c r="R237" s="25">
        <f t="shared" si="143"/>
        <v>0</v>
      </c>
      <c r="S237" s="25">
        <f t="shared" si="143"/>
        <v>0</v>
      </c>
      <c r="T237" s="25">
        <f t="shared" si="143"/>
        <v>0</v>
      </c>
      <c r="U237" s="25">
        <f t="shared" si="143"/>
        <v>0</v>
      </c>
      <c r="V237" s="25">
        <f t="shared" si="143"/>
        <v>0</v>
      </c>
      <c r="W237" s="25">
        <f t="shared" si="143"/>
        <v>0</v>
      </c>
      <c r="X237" s="25">
        <f t="shared" si="143"/>
        <v>0</v>
      </c>
    </row>
    <row r="238" spans="2:24" hidden="1" outlineLevel="1" x14ac:dyDescent="0.2">
      <c r="B238" s="17" t="str">
        <f t="shared" si="141"/>
        <v>Equipo de Laboratorio</v>
      </c>
      <c r="D238" s="65">
        <f t="shared" si="142"/>
        <v>0</v>
      </c>
      <c r="E238" s="25">
        <f t="shared" si="143"/>
        <v>0</v>
      </c>
      <c r="F238" s="25">
        <f t="shared" si="143"/>
        <v>0</v>
      </c>
      <c r="G238" s="25">
        <f t="shared" si="143"/>
        <v>0</v>
      </c>
      <c r="H238" s="25">
        <f t="shared" si="143"/>
        <v>0</v>
      </c>
      <c r="I238" s="25">
        <f t="shared" si="143"/>
        <v>0</v>
      </c>
      <c r="J238" s="25">
        <f t="shared" si="143"/>
        <v>0</v>
      </c>
      <c r="K238" s="25">
        <f t="shared" si="143"/>
        <v>0</v>
      </c>
      <c r="L238" s="25">
        <f t="shared" si="143"/>
        <v>0</v>
      </c>
      <c r="M238" s="25">
        <f t="shared" si="143"/>
        <v>0</v>
      </c>
      <c r="N238" s="25">
        <f t="shared" si="143"/>
        <v>0</v>
      </c>
      <c r="O238" s="25">
        <f t="shared" si="143"/>
        <v>0</v>
      </c>
      <c r="P238" s="25">
        <f t="shared" si="143"/>
        <v>0</v>
      </c>
      <c r="Q238" s="25">
        <f t="shared" si="143"/>
        <v>0</v>
      </c>
      <c r="R238" s="25">
        <f t="shared" si="143"/>
        <v>0</v>
      </c>
      <c r="S238" s="25">
        <f t="shared" si="143"/>
        <v>0</v>
      </c>
      <c r="T238" s="25">
        <f t="shared" si="143"/>
        <v>0</v>
      </c>
      <c r="U238" s="25">
        <f t="shared" si="143"/>
        <v>0</v>
      </c>
      <c r="V238" s="25">
        <f t="shared" si="143"/>
        <v>0</v>
      </c>
      <c r="W238" s="25">
        <f t="shared" si="143"/>
        <v>0</v>
      </c>
      <c r="X238" s="25">
        <f t="shared" si="143"/>
        <v>0</v>
      </c>
    </row>
    <row r="239" spans="2:24" outlineLevel="1" x14ac:dyDescent="0.2">
      <c r="B239" s="17" t="str">
        <f t="shared" si="141"/>
        <v>Maquinaria y Equipo de Producción</v>
      </c>
      <c r="D239" s="65">
        <f t="shared" si="142"/>
        <v>30000000</v>
      </c>
      <c r="E239" s="25">
        <f t="shared" si="143"/>
        <v>27000000</v>
      </c>
      <c r="F239" s="25">
        <f t="shared" si="143"/>
        <v>24000000</v>
      </c>
      <c r="G239" s="25">
        <f t="shared" si="143"/>
        <v>21000000</v>
      </c>
      <c r="H239" s="25">
        <f t="shared" si="143"/>
        <v>18000000</v>
      </c>
      <c r="I239" s="25">
        <f t="shared" si="143"/>
        <v>15000000</v>
      </c>
      <c r="J239" s="25">
        <f t="shared" si="143"/>
        <v>12000000</v>
      </c>
      <c r="K239" s="25">
        <f t="shared" si="143"/>
        <v>9000000</v>
      </c>
      <c r="L239" s="25">
        <f t="shared" si="143"/>
        <v>6000000</v>
      </c>
      <c r="M239" s="25">
        <f t="shared" si="143"/>
        <v>3000000</v>
      </c>
      <c r="N239" s="25">
        <f t="shared" si="143"/>
        <v>0</v>
      </c>
      <c r="O239" s="25">
        <f t="shared" si="143"/>
        <v>0</v>
      </c>
      <c r="P239" s="25">
        <f t="shared" si="143"/>
        <v>0</v>
      </c>
      <c r="Q239" s="25">
        <f t="shared" si="143"/>
        <v>0</v>
      </c>
      <c r="R239" s="25">
        <f t="shared" si="143"/>
        <v>0</v>
      </c>
      <c r="S239" s="25">
        <f t="shared" si="143"/>
        <v>0</v>
      </c>
      <c r="T239" s="25">
        <f t="shared" si="143"/>
        <v>0</v>
      </c>
      <c r="U239" s="25">
        <f t="shared" si="143"/>
        <v>0</v>
      </c>
      <c r="V239" s="25">
        <f t="shared" si="143"/>
        <v>0</v>
      </c>
      <c r="W239" s="25">
        <f t="shared" si="143"/>
        <v>0</v>
      </c>
      <c r="X239" s="25">
        <f t="shared" si="143"/>
        <v>0</v>
      </c>
    </row>
    <row r="240" spans="2:24" hidden="1" outlineLevel="1" x14ac:dyDescent="0.2">
      <c r="B240" s="17" t="str">
        <f t="shared" si="141"/>
        <v>Flota y Equipo de Transporte</v>
      </c>
      <c r="D240" s="65">
        <f t="shared" si="142"/>
        <v>0</v>
      </c>
      <c r="E240" s="25">
        <f t="shared" si="143"/>
        <v>0</v>
      </c>
      <c r="F240" s="25">
        <f t="shared" si="143"/>
        <v>0</v>
      </c>
      <c r="G240" s="25">
        <f t="shared" si="143"/>
        <v>0</v>
      </c>
      <c r="H240" s="25">
        <f t="shared" si="143"/>
        <v>0</v>
      </c>
      <c r="I240" s="25">
        <f t="shared" si="143"/>
        <v>0</v>
      </c>
      <c r="J240" s="25">
        <f t="shared" si="143"/>
        <v>0</v>
      </c>
      <c r="K240" s="25">
        <f t="shared" si="143"/>
        <v>0</v>
      </c>
      <c r="L240" s="25">
        <f t="shared" si="143"/>
        <v>0</v>
      </c>
      <c r="M240" s="25">
        <f t="shared" si="143"/>
        <v>0</v>
      </c>
      <c r="N240" s="25">
        <f t="shared" si="143"/>
        <v>0</v>
      </c>
      <c r="O240" s="25">
        <f t="shared" si="143"/>
        <v>0</v>
      </c>
      <c r="P240" s="25">
        <f t="shared" si="143"/>
        <v>0</v>
      </c>
      <c r="Q240" s="25">
        <f t="shared" si="143"/>
        <v>0</v>
      </c>
      <c r="R240" s="25">
        <f t="shared" si="143"/>
        <v>0</v>
      </c>
      <c r="S240" s="25">
        <f t="shared" si="143"/>
        <v>0</v>
      </c>
      <c r="T240" s="25">
        <f t="shared" si="143"/>
        <v>0</v>
      </c>
      <c r="U240" s="25">
        <f t="shared" si="143"/>
        <v>0</v>
      </c>
      <c r="V240" s="25">
        <f t="shared" si="143"/>
        <v>0</v>
      </c>
      <c r="W240" s="25">
        <f t="shared" si="143"/>
        <v>0</v>
      </c>
      <c r="X240" s="25">
        <f t="shared" si="143"/>
        <v>0</v>
      </c>
    </row>
    <row r="241" spans="2:24" hidden="1" outlineLevel="1" x14ac:dyDescent="0.2">
      <c r="B241" s="17" t="str">
        <f t="shared" si="141"/>
        <v>Herramientas</v>
      </c>
      <c r="D241" s="65">
        <f t="shared" si="142"/>
        <v>0</v>
      </c>
      <c r="E241" s="25">
        <f t="shared" si="143"/>
        <v>0</v>
      </c>
      <c r="F241" s="25">
        <f t="shared" si="143"/>
        <v>0</v>
      </c>
      <c r="G241" s="25">
        <f t="shared" si="143"/>
        <v>0</v>
      </c>
      <c r="H241" s="25">
        <f t="shared" si="143"/>
        <v>0</v>
      </c>
      <c r="I241" s="25">
        <f t="shared" si="143"/>
        <v>0</v>
      </c>
      <c r="J241" s="25">
        <f t="shared" si="143"/>
        <v>0</v>
      </c>
      <c r="K241" s="25">
        <f t="shared" si="143"/>
        <v>0</v>
      </c>
      <c r="L241" s="25">
        <f t="shared" si="143"/>
        <v>0</v>
      </c>
      <c r="M241" s="25">
        <f t="shared" si="143"/>
        <v>0</v>
      </c>
      <c r="N241" s="25">
        <f t="shared" si="143"/>
        <v>0</v>
      </c>
      <c r="O241" s="25">
        <f t="shared" si="143"/>
        <v>0</v>
      </c>
      <c r="P241" s="25">
        <f t="shared" si="143"/>
        <v>0</v>
      </c>
      <c r="Q241" s="25">
        <f t="shared" si="143"/>
        <v>0</v>
      </c>
      <c r="R241" s="25">
        <f t="shared" si="143"/>
        <v>0</v>
      </c>
      <c r="S241" s="25">
        <f t="shared" si="143"/>
        <v>0</v>
      </c>
      <c r="T241" s="25">
        <f t="shared" si="143"/>
        <v>0</v>
      </c>
      <c r="U241" s="25">
        <f t="shared" si="143"/>
        <v>0</v>
      </c>
      <c r="V241" s="25">
        <f t="shared" si="143"/>
        <v>0</v>
      </c>
      <c r="W241" s="25">
        <f t="shared" si="143"/>
        <v>0</v>
      </c>
      <c r="X241" s="25">
        <f t="shared" si="143"/>
        <v>0</v>
      </c>
    </row>
    <row r="242" spans="2:24" outlineLevel="1" x14ac:dyDescent="0.2">
      <c r="B242" s="17" t="str">
        <f t="shared" si="141"/>
        <v>Muebles y Enseres</v>
      </c>
      <c r="D242" s="65">
        <f t="shared" si="142"/>
        <v>4340000</v>
      </c>
      <c r="E242" s="25">
        <f t="shared" si="143"/>
        <v>3472000</v>
      </c>
      <c r="F242" s="25">
        <f t="shared" si="143"/>
        <v>2604000</v>
      </c>
      <c r="G242" s="25">
        <f t="shared" si="143"/>
        <v>1736000</v>
      </c>
      <c r="H242" s="25">
        <f t="shared" si="143"/>
        <v>868000</v>
      </c>
      <c r="I242" s="25">
        <f t="shared" si="143"/>
        <v>0</v>
      </c>
      <c r="J242" s="25">
        <f t="shared" si="143"/>
        <v>0</v>
      </c>
      <c r="K242" s="25">
        <f t="shared" si="143"/>
        <v>0</v>
      </c>
      <c r="L242" s="25">
        <f t="shared" si="143"/>
        <v>0</v>
      </c>
      <c r="M242" s="25">
        <f t="shared" si="143"/>
        <v>0</v>
      </c>
      <c r="N242" s="25">
        <f t="shared" si="143"/>
        <v>0</v>
      </c>
      <c r="O242" s="25">
        <f t="shared" si="143"/>
        <v>0</v>
      </c>
      <c r="P242" s="25">
        <f t="shared" si="143"/>
        <v>0</v>
      </c>
      <c r="Q242" s="25">
        <f t="shared" si="143"/>
        <v>0</v>
      </c>
      <c r="R242" s="25">
        <f t="shared" si="143"/>
        <v>0</v>
      </c>
      <c r="S242" s="25">
        <f t="shared" si="143"/>
        <v>0</v>
      </c>
      <c r="T242" s="25">
        <f t="shared" si="143"/>
        <v>0</v>
      </c>
      <c r="U242" s="25">
        <f t="shared" si="143"/>
        <v>0</v>
      </c>
      <c r="V242" s="25">
        <f t="shared" si="143"/>
        <v>0</v>
      </c>
      <c r="W242" s="25">
        <f t="shared" si="143"/>
        <v>0</v>
      </c>
      <c r="X242" s="25">
        <f t="shared" si="143"/>
        <v>0</v>
      </c>
    </row>
    <row r="243" spans="2:24" hidden="1" outlineLevel="1" x14ac:dyDescent="0.2">
      <c r="B243" s="17" t="str">
        <f t="shared" si="141"/>
        <v>Construcciones</v>
      </c>
      <c r="D243" s="65">
        <f t="shared" si="142"/>
        <v>0</v>
      </c>
      <c r="E243" s="25">
        <f t="shared" si="143"/>
        <v>0</v>
      </c>
      <c r="F243" s="25">
        <f t="shared" si="143"/>
        <v>0</v>
      </c>
      <c r="G243" s="25">
        <f t="shared" si="143"/>
        <v>0</v>
      </c>
      <c r="H243" s="25">
        <f t="shared" si="143"/>
        <v>0</v>
      </c>
      <c r="I243" s="25">
        <f t="shared" si="143"/>
        <v>0</v>
      </c>
      <c r="J243" s="25">
        <f t="shared" si="143"/>
        <v>0</v>
      </c>
      <c r="K243" s="25">
        <f t="shared" si="143"/>
        <v>0</v>
      </c>
      <c r="L243" s="25">
        <f t="shared" si="143"/>
        <v>0</v>
      </c>
      <c r="M243" s="25">
        <f t="shared" si="143"/>
        <v>0</v>
      </c>
      <c r="N243" s="25">
        <f t="shared" si="143"/>
        <v>0</v>
      </c>
      <c r="O243" s="25">
        <f t="shared" si="143"/>
        <v>0</v>
      </c>
      <c r="P243" s="25">
        <f t="shared" si="143"/>
        <v>0</v>
      </c>
      <c r="Q243" s="25">
        <f t="shared" si="143"/>
        <v>0</v>
      </c>
      <c r="R243" s="25">
        <f t="shared" si="143"/>
        <v>0</v>
      </c>
      <c r="S243" s="25">
        <f t="shared" si="143"/>
        <v>0</v>
      </c>
      <c r="T243" s="25">
        <f t="shared" si="143"/>
        <v>0</v>
      </c>
      <c r="U243" s="25">
        <f t="shared" si="143"/>
        <v>0</v>
      </c>
      <c r="V243" s="25">
        <f t="shared" si="143"/>
        <v>0</v>
      </c>
      <c r="W243" s="25">
        <f t="shared" si="143"/>
        <v>0</v>
      </c>
      <c r="X243" s="25">
        <f t="shared" si="143"/>
        <v>0</v>
      </c>
    </row>
    <row r="244" spans="2:24" outlineLevel="1" x14ac:dyDescent="0.2">
      <c r="B244" s="17"/>
      <c r="D244" s="25"/>
      <c r="E244" s="25"/>
      <c r="F244" s="25"/>
      <c r="G244" s="25"/>
      <c r="H244" s="25"/>
      <c r="I244" s="25"/>
      <c r="J244" s="25"/>
      <c r="K244" s="25"/>
      <c r="L244" s="25"/>
      <c r="M244" s="25"/>
      <c r="N244" s="25"/>
      <c r="O244" s="25"/>
      <c r="P244" s="25"/>
      <c r="Q244" s="25"/>
      <c r="R244" s="25"/>
      <c r="S244" s="25"/>
      <c r="T244" s="25"/>
      <c r="U244" s="25"/>
      <c r="V244" s="25"/>
      <c r="W244" s="25"/>
      <c r="X244" s="25"/>
    </row>
    <row r="245" spans="2:24" outlineLevel="1" x14ac:dyDescent="0.2">
      <c r="B245" s="68" t="s">
        <v>101</v>
      </c>
      <c r="C245" s="69"/>
      <c r="D245" s="70">
        <f t="shared" ref="D245:X245" si="144">+SUM(D237:D243)</f>
        <v>36940000</v>
      </c>
      <c r="E245" s="70">
        <f t="shared" si="144"/>
        <v>32552000</v>
      </c>
      <c r="F245" s="70">
        <f t="shared" si="144"/>
        <v>28164000</v>
      </c>
      <c r="G245" s="70">
        <f t="shared" si="144"/>
        <v>23776000</v>
      </c>
      <c r="H245" s="70">
        <f t="shared" si="144"/>
        <v>19388000</v>
      </c>
      <c r="I245" s="70">
        <f t="shared" si="144"/>
        <v>15000000</v>
      </c>
      <c r="J245" s="70">
        <f t="shared" si="144"/>
        <v>12000000</v>
      </c>
      <c r="K245" s="70">
        <f t="shared" si="144"/>
        <v>9000000</v>
      </c>
      <c r="L245" s="70">
        <f t="shared" si="144"/>
        <v>6000000</v>
      </c>
      <c r="M245" s="70">
        <f t="shared" si="144"/>
        <v>3000000</v>
      </c>
      <c r="N245" s="70">
        <f t="shared" si="144"/>
        <v>0</v>
      </c>
      <c r="O245" s="70">
        <f t="shared" si="144"/>
        <v>0</v>
      </c>
      <c r="P245" s="70">
        <f t="shared" si="144"/>
        <v>0</v>
      </c>
      <c r="Q245" s="70">
        <f t="shared" si="144"/>
        <v>0</v>
      </c>
      <c r="R245" s="70">
        <f t="shared" si="144"/>
        <v>0</v>
      </c>
      <c r="S245" s="70">
        <f t="shared" si="144"/>
        <v>0</v>
      </c>
      <c r="T245" s="70">
        <f t="shared" si="144"/>
        <v>0</v>
      </c>
      <c r="U245" s="70">
        <f t="shared" si="144"/>
        <v>0</v>
      </c>
      <c r="V245" s="70">
        <f t="shared" si="144"/>
        <v>0</v>
      </c>
      <c r="W245" s="70">
        <f t="shared" si="144"/>
        <v>0</v>
      </c>
      <c r="X245" s="70">
        <f t="shared" si="144"/>
        <v>0</v>
      </c>
    </row>
    <row r="246" spans="2:24" outlineLevel="1" x14ac:dyDescent="0.2">
      <c r="D246" s="25"/>
      <c r="E246" s="71"/>
      <c r="F246" s="71"/>
      <c r="G246" s="71"/>
      <c r="H246" s="71"/>
      <c r="I246" s="71"/>
      <c r="J246" s="71"/>
      <c r="K246" s="71"/>
      <c r="L246" s="71"/>
      <c r="M246" s="71"/>
      <c r="N246" s="71"/>
      <c r="O246" s="71"/>
      <c r="P246" s="71"/>
      <c r="Q246" s="71"/>
      <c r="R246" s="71"/>
      <c r="S246" s="71"/>
      <c r="T246" s="71"/>
      <c r="U246" s="71"/>
      <c r="V246" s="71"/>
      <c r="W246" s="71"/>
      <c r="X246" s="71"/>
    </row>
    <row r="247" spans="2:24" outlineLevel="1" x14ac:dyDescent="0.2">
      <c r="B247" s="66" t="s">
        <v>56</v>
      </c>
      <c r="D247" s="72">
        <f>+D113</f>
        <v>0</v>
      </c>
      <c r="E247" s="73">
        <f t="shared" ref="E247:X247" si="145">(D247-E113)*E$2</f>
        <v>0</v>
      </c>
      <c r="F247" s="73">
        <f t="shared" si="145"/>
        <v>0</v>
      </c>
      <c r="G247" s="73">
        <f t="shared" si="145"/>
        <v>0</v>
      </c>
      <c r="H247" s="73">
        <f t="shared" si="145"/>
        <v>0</v>
      </c>
      <c r="I247" s="73">
        <f t="shared" si="145"/>
        <v>0</v>
      </c>
      <c r="J247" s="73">
        <f t="shared" si="145"/>
        <v>0</v>
      </c>
      <c r="K247" s="73">
        <f t="shared" si="145"/>
        <v>0</v>
      </c>
      <c r="L247" s="73">
        <f t="shared" si="145"/>
        <v>0</v>
      </c>
      <c r="M247" s="73">
        <f t="shared" si="145"/>
        <v>0</v>
      </c>
      <c r="N247" s="73">
        <f t="shared" si="145"/>
        <v>0</v>
      </c>
      <c r="O247" s="73">
        <f t="shared" si="145"/>
        <v>0</v>
      </c>
      <c r="P247" s="73">
        <f t="shared" si="145"/>
        <v>0</v>
      </c>
      <c r="Q247" s="73">
        <f t="shared" si="145"/>
        <v>0</v>
      </c>
      <c r="R247" s="73">
        <f t="shared" si="145"/>
        <v>0</v>
      </c>
      <c r="S247" s="73">
        <f t="shared" si="145"/>
        <v>0</v>
      </c>
      <c r="T247" s="73">
        <f t="shared" si="145"/>
        <v>0</v>
      </c>
      <c r="U247" s="73">
        <f t="shared" si="145"/>
        <v>0</v>
      </c>
      <c r="V247" s="73">
        <f t="shared" si="145"/>
        <v>0</v>
      </c>
      <c r="W247" s="73">
        <f t="shared" si="145"/>
        <v>0</v>
      </c>
      <c r="X247" s="73">
        <f t="shared" si="145"/>
        <v>0</v>
      </c>
    </row>
    <row r="248" spans="2:24" outlineLevel="1" x14ac:dyDescent="0.2">
      <c r="D248" s="25"/>
      <c r="E248" s="71"/>
      <c r="F248" s="71"/>
      <c r="G248" s="71"/>
      <c r="H248" s="71"/>
      <c r="I248" s="71"/>
      <c r="J248" s="71"/>
      <c r="K248" s="71"/>
      <c r="L248" s="71"/>
      <c r="M248" s="71"/>
      <c r="N248" s="71"/>
      <c r="O248" s="71"/>
      <c r="P248" s="71"/>
      <c r="Q248" s="71"/>
      <c r="R248" s="71"/>
      <c r="S248" s="71"/>
      <c r="T248" s="71"/>
      <c r="U248" s="71"/>
      <c r="V248" s="71"/>
      <c r="W248" s="71"/>
      <c r="X248" s="71"/>
    </row>
    <row r="249" spans="2:24" outlineLevel="1" x14ac:dyDescent="0.2">
      <c r="D249" s="25"/>
      <c r="E249" s="71"/>
      <c r="F249" s="71"/>
      <c r="G249" s="71"/>
      <c r="H249" s="71"/>
      <c r="I249" s="71"/>
      <c r="J249" s="71"/>
      <c r="K249" s="71"/>
      <c r="L249" s="71"/>
      <c r="M249" s="71"/>
      <c r="N249" s="71"/>
      <c r="O249" s="71"/>
      <c r="P249" s="71"/>
      <c r="Q249" s="71"/>
      <c r="R249" s="71"/>
      <c r="S249" s="71"/>
      <c r="T249" s="71"/>
      <c r="U249" s="71"/>
      <c r="V249" s="71"/>
      <c r="W249" s="71"/>
      <c r="X249" s="71"/>
    </row>
    <row r="250" spans="2:24" outlineLevel="1" x14ac:dyDescent="0.2">
      <c r="B250" s="66" t="s">
        <v>121</v>
      </c>
      <c r="D250" s="67">
        <f>+D252</f>
        <v>2800000</v>
      </c>
      <c r="E250" s="67">
        <f t="shared" ref="E250:X250" si="146">+E252</f>
        <v>2100000</v>
      </c>
      <c r="F250" s="67">
        <f t="shared" si="146"/>
        <v>1400000</v>
      </c>
      <c r="G250" s="67">
        <f t="shared" si="146"/>
        <v>700000</v>
      </c>
      <c r="H250" s="67">
        <f t="shared" si="146"/>
        <v>0</v>
      </c>
      <c r="I250" s="67">
        <f t="shared" si="146"/>
        <v>0</v>
      </c>
      <c r="J250" s="67">
        <f t="shared" si="146"/>
        <v>0</v>
      </c>
      <c r="K250" s="67">
        <f t="shared" si="146"/>
        <v>0</v>
      </c>
      <c r="L250" s="67">
        <f t="shared" si="146"/>
        <v>0</v>
      </c>
      <c r="M250" s="67">
        <f t="shared" si="146"/>
        <v>0</v>
      </c>
      <c r="N250" s="67">
        <f t="shared" si="146"/>
        <v>0</v>
      </c>
      <c r="O250" s="67">
        <f t="shared" si="146"/>
        <v>0</v>
      </c>
      <c r="P250" s="67">
        <f t="shared" si="146"/>
        <v>0</v>
      </c>
      <c r="Q250" s="67">
        <f t="shared" si="146"/>
        <v>0</v>
      </c>
      <c r="R250" s="67">
        <f t="shared" si="146"/>
        <v>0</v>
      </c>
      <c r="S250" s="67">
        <f t="shared" si="146"/>
        <v>0</v>
      </c>
      <c r="T250" s="67">
        <f t="shared" si="146"/>
        <v>0</v>
      </c>
      <c r="U250" s="67">
        <f t="shared" si="146"/>
        <v>0</v>
      </c>
      <c r="V250" s="67">
        <f t="shared" si="146"/>
        <v>0</v>
      </c>
      <c r="W250" s="67">
        <f t="shared" si="146"/>
        <v>0</v>
      </c>
      <c r="X250" s="67">
        <f t="shared" si="146"/>
        <v>0</v>
      </c>
    </row>
    <row r="251" spans="2:24" outlineLevel="1" x14ac:dyDescent="0.2">
      <c r="B251" s="66"/>
      <c r="D251" s="25"/>
      <c r="E251" s="25"/>
      <c r="F251" s="25"/>
      <c r="G251" s="25"/>
      <c r="H251" s="25"/>
      <c r="I251" s="25"/>
      <c r="J251" s="25"/>
      <c r="K251" s="25"/>
      <c r="L251" s="25"/>
      <c r="M251" s="25"/>
      <c r="N251" s="25"/>
      <c r="O251" s="25"/>
      <c r="P251" s="25"/>
      <c r="Q251" s="25"/>
      <c r="R251" s="25"/>
      <c r="S251" s="25"/>
      <c r="T251" s="25"/>
      <c r="U251" s="25"/>
      <c r="V251" s="25"/>
      <c r="W251" s="25"/>
      <c r="X251" s="25"/>
    </row>
    <row r="252" spans="2:24" outlineLevel="1" x14ac:dyDescent="0.2">
      <c r="B252" s="17" t="s">
        <v>67</v>
      </c>
      <c r="D252" s="74">
        <f>+D131</f>
        <v>2800000</v>
      </c>
      <c r="E252" s="74">
        <f t="shared" ref="E252:X252" si="147">+E131</f>
        <v>2100000</v>
      </c>
      <c r="F252" s="74">
        <f t="shared" si="147"/>
        <v>1400000</v>
      </c>
      <c r="G252" s="74">
        <f t="shared" si="147"/>
        <v>700000</v>
      </c>
      <c r="H252" s="74">
        <f t="shared" si="147"/>
        <v>0</v>
      </c>
      <c r="I252" s="74">
        <f t="shared" si="147"/>
        <v>0</v>
      </c>
      <c r="J252" s="74">
        <f t="shared" si="147"/>
        <v>0</v>
      </c>
      <c r="K252" s="74">
        <f t="shared" si="147"/>
        <v>0</v>
      </c>
      <c r="L252" s="74">
        <f t="shared" si="147"/>
        <v>0</v>
      </c>
      <c r="M252" s="74">
        <f t="shared" si="147"/>
        <v>0</v>
      </c>
      <c r="N252" s="74">
        <f t="shared" si="147"/>
        <v>0</v>
      </c>
      <c r="O252" s="74">
        <f t="shared" si="147"/>
        <v>0</v>
      </c>
      <c r="P252" s="74">
        <f t="shared" si="147"/>
        <v>0</v>
      </c>
      <c r="Q252" s="74">
        <f t="shared" si="147"/>
        <v>0</v>
      </c>
      <c r="R252" s="74">
        <f t="shared" si="147"/>
        <v>0</v>
      </c>
      <c r="S252" s="74">
        <f t="shared" si="147"/>
        <v>0</v>
      </c>
      <c r="T252" s="74">
        <f t="shared" si="147"/>
        <v>0</v>
      </c>
      <c r="U252" s="74">
        <f t="shared" si="147"/>
        <v>0</v>
      </c>
      <c r="V252" s="74">
        <f t="shared" si="147"/>
        <v>0</v>
      </c>
      <c r="W252" s="74">
        <f t="shared" si="147"/>
        <v>0</v>
      </c>
      <c r="X252" s="74">
        <f t="shared" si="147"/>
        <v>0</v>
      </c>
    </row>
    <row r="253" spans="2:24" outlineLevel="1" x14ac:dyDescent="0.2">
      <c r="D253" s="25"/>
      <c r="E253" s="25"/>
      <c r="F253" s="25"/>
      <c r="G253" s="25"/>
      <c r="H253" s="25"/>
      <c r="I253" s="25"/>
      <c r="J253" s="25"/>
      <c r="K253" s="25"/>
      <c r="L253" s="25"/>
      <c r="M253" s="25"/>
      <c r="N253" s="25"/>
      <c r="O253" s="25"/>
      <c r="P253" s="25"/>
      <c r="Q253" s="25"/>
      <c r="R253" s="25"/>
      <c r="S253" s="25"/>
      <c r="T253" s="25"/>
      <c r="U253" s="25"/>
      <c r="V253" s="25"/>
      <c r="W253" s="25"/>
      <c r="X253" s="25"/>
    </row>
    <row r="254" spans="2:24" outlineLevel="1" x14ac:dyDescent="0.2">
      <c r="D254" s="25"/>
      <c r="E254" s="25"/>
      <c r="F254" s="25"/>
      <c r="G254" s="25"/>
      <c r="H254" s="25"/>
      <c r="I254" s="25"/>
      <c r="J254" s="25"/>
      <c r="K254" s="25"/>
      <c r="L254" s="25"/>
      <c r="M254" s="25"/>
      <c r="N254" s="25"/>
      <c r="O254" s="25"/>
      <c r="P254" s="25"/>
      <c r="Q254" s="25"/>
      <c r="R254" s="25"/>
      <c r="S254" s="25"/>
      <c r="T254" s="25"/>
      <c r="U254" s="25"/>
      <c r="V254" s="25"/>
      <c r="W254" s="25"/>
      <c r="X254" s="25"/>
    </row>
    <row r="255" spans="2:24" outlineLevel="1" x14ac:dyDescent="0.2">
      <c r="B255" s="8" t="s">
        <v>122</v>
      </c>
      <c r="D255" s="42">
        <f>+D257+D264</f>
        <v>27372000</v>
      </c>
      <c r="E255" s="42">
        <f t="shared" ref="E255:X255" si="148">+E257+E264</f>
        <v>116875950.24092582</v>
      </c>
      <c r="F255" s="42">
        <f t="shared" si="148"/>
        <v>127669059.64350048</v>
      </c>
      <c r="G255" s="42">
        <f t="shared" si="148"/>
        <v>144204394.78944826</v>
      </c>
      <c r="H255" s="42">
        <f t="shared" si="148"/>
        <v>162683268.78273636</v>
      </c>
      <c r="I255" s="42">
        <f t="shared" si="148"/>
        <v>18015377.467017274</v>
      </c>
      <c r="J255" s="42">
        <f t="shared" si="148"/>
        <v>15289947.272432061</v>
      </c>
      <c r="K255" s="42">
        <f t="shared" si="148"/>
        <v>12182956.850604923</v>
      </c>
      <c r="L255" s="42">
        <f t="shared" si="148"/>
        <v>8640987.7697219905</v>
      </c>
      <c r="M255" s="42">
        <f t="shared" si="148"/>
        <v>4603143.0175154489</v>
      </c>
      <c r="N255" s="42">
        <f t="shared" si="148"/>
        <v>-2.3865140974521637E-9</v>
      </c>
      <c r="O255" s="42">
        <f t="shared" si="148"/>
        <v>0</v>
      </c>
      <c r="P255" s="42">
        <f t="shared" si="148"/>
        <v>0</v>
      </c>
      <c r="Q255" s="42">
        <f t="shared" si="148"/>
        <v>0</v>
      </c>
      <c r="R255" s="42" t="e">
        <f t="shared" si="148"/>
        <v>#REF!</v>
      </c>
      <c r="S255" s="42" t="e">
        <f t="shared" si="148"/>
        <v>#REF!</v>
      </c>
      <c r="T255" s="42" t="e">
        <f t="shared" si="148"/>
        <v>#REF!</v>
      </c>
      <c r="U255" s="42" t="e">
        <f t="shared" si="148"/>
        <v>#REF!</v>
      </c>
      <c r="V255" s="42" t="e">
        <f t="shared" si="148"/>
        <v>#REF!</v>
      </c>
      <c r="W255" s="42" t="e">
        <f t="shared" si="148"/>
        <v>#REF!</v>
      </c>
      <c r="X255" s="42" t="e">
        <f t="shared" si="148"/>
        <v>#REF!</v>
      </c>
    </row>
    <row r="256" spans="2:24" outlineLevel="1" x14ac:dyDescent="0.2">
      <c r="D256" s="25"/>
      <c r="E256" s="25"/>
      <c r="F256" s="25"/>
      <c r="G256" s="25"/>
      <c r="H256" s="25"/>
      <c r="I256" s="25"/>
      <c r="J256" s="25"/>
      <c r="K256" s="25"/>
      <c r="L256" s="25"/>
      <c r="M256" s="25"/>
      <c r="N256" s="25"/>
      <c r="O256" s="25"/>
      <c r="P256" s="25"/>
      <c r="Q256" s="25"/>
      <c r="R256" s="25"/>
      <c r="S256" s="25"/>
      <c r="T256" s="25"/>
      <c r="U256" s="25"/>
      <c r="V256" s="25"/>
      <c r="W256" s="25"/>
      <c r="X256" s="25"/>
    </row>
    <row r="257" spans="2:24" outlineLevel="1" x14ac:dyDescent="0.2">
      <c r="B257" s="66" t="s">
        <v>123</v>
      </c>
      <c r="D257" s="67">
        <f>+SUM(D259:D261)</f>
        <v>0</v>
      </c>
      <c r="E257" s="67">
        <f t="shared" ref="E257:O257" si="149">+SUM(E259:E261)</f>
        <v>90919453.28089346</v>
      </c>
      <c r="F257" s="67">
        <f t="shared" si="149"/>
        <v>103326236.14903122</v>
      </c>
      <c r="G257" s="67">
        <f t="shared" si="149"/>
        <v>121701159.04572093</v>
      </c>
      <c r="H257" s="67">
        <f t="shared" si="149"/>
        <v>142277163.07485485</v>
      </c>
      <c r="I257" s="67">
        <f t="shared" si="149"/>
        <v>0</v>
      </c>
      <c r="J257" s="67">
        <f t="shared" si="149"/>
        <v>0</v>
      </c>
      <c r="K257" s="67">
        <f t="shared" si="149"/>
        <v>0</v>
      </c>
      <c r="L257" s="67">
        <f t="shared" si="149"/>
        <v>0</v>
      </c>
      <c r="M257" s="67">
        <f t="shared" si="149"/>
        <v>0</v>
      </c>
      <c r="N257" s="67">
        <f t="shared" si="149"/>
        <v>0</v>
      </c>
      <c r="O257" s="67">
        <f t="shared" si="149"/>
        <v>0</v>
      </c>
      <c r="P257" s="67">
        <f t="shared" ref="P257:X257" si="150">+SUM(P259:P261)</f>
        <v>0</v>
      </c>
      <c r="Q257" s="67">
        <f t="shared" si="150"/>
        <v>0</v>
      </c>
      <c r="R257" s="67" t="e">
        <f t="shared" si="150"/>
        <v>#REF!</v>
      </c>
      <c r="S257" s="67" t="e">
        <f t="shared" si="150"/>
        <v>#REF!</v>
      </c>
      <c r="T257" s="67" t="e">
        <f t="shared" si="150"/>
        <v>#REF!</v>
      </c>
      <c r="U257" s="67" t="e">
        <f t="shared" si="150"/>
        <v>#REF!</v>
      </c>
      <c r="V257" s="67" t="e">
        <f t="shared" si="150"/>
        <v>#REF!</v>
      </c>
      <c r="W257" s="67" t="e">
        <f t="shared" si="150"/>
        <v>#REF!</v>
      </c>
      <c r="X257" s="67" t="e">
        <f t="shared" si="150"/>
        <v>#REF!</v>
      </c>
    </row>
    <row r="258" spans="2:24" outlineLevel="1" x14ac:dyDescent="0.2">
      <c r="D258" s="25"/>
      <c r="E258" s="25"/>
      <c r="F258" s="25"/>
      <c r="G258" s="25"/>
      <c r="H258" s="25"/>
      <c r="I258" s="25"/>
      <c r="J258" s="25"/>
      <c r="K258" s="25"/>
      <c r="L258" s="25"/>
      <c r="M258" s="25"/>
      <c r="N258" s="25"/>
      <c r="O258" s="25"/>
      <c r="P258" s="25"/>
      <c r="Q258" s="25"/>
      <c r="R258" s="25"/>
      <c r="S258" s="25"/>
      <c r="T258" s="25"/>
      <c r="U258" s="25"/>
      <c r="V258" s="25"/>
      <c r="W258" s="25"/>
      <c r="X258" s="25"/>
    </row>
    <row r="259" spans="2:24" outlineLevel="1" x14ac:dyDescent="0.2">
      <c r="B259" s="17" t="s">
        <v>124</v>
      </c>
      <c r="D259" s="14"/>
      <c r="E259" s="25">
        <f>+E63</f>
        <v>0</v>
      </c>
      <c r="F259" s="25">
        <f t="shared" ref="F259:X259" si="151">+F63</f>
        <v>0</v>
      </c>
      <c r="G259" s="25">
        <f t="shared" si="151"/>
        <v>0</v>
      </c>
      <c r="H259" s="25">
        <f t="shared" si="151"/>
        <v>0</v>
      </c>
      <c r="I259" s="25">
        <f t="shared" si="151"/>
        <v>0</v>
      </c>
      <c r="J259" s="25">
        <f t="shared" si="151"/>
        <v>0</v>
      </c>
      <c r="K259" s="25">
        <f t="shared" si="151"/>
        <v>0</v>
      </c>
      <c r="L259" s="25">
        <f t="shared" si="151"/>
        <v>0</v>
      </c>
      <c r="M259" s="25">
        <f t="shared" si="151"/>
        <v>0</v>
      </c>
      <c r="N259" s="25">
        <f t="shared" si="151"/>
        <v>0</v>
      </c>
      <c r="O259" s="25">
        <f t="shared" si="151"/>
        <v>0</v>
      </c>
      <c r="P259" s="25">
        <f t="shared" si="151"/>
        <v>0</v>
      </c>
      <c r="Q259" s="25">
        <f t="shared" si="151"/>
        <v>0</v>
      </c>
      <c r="R259" s="25">
        <f t="shared" si="151"/>
        <v>0</v>
      </c>
      <c r="S259" s="25">
        <f t="shared" si="151"/>
        <v>0</v>
      </c>
      <c r="T259" s="25">
        <f t="shared" si="151"/>
        <v>0</v>
      </c>
      <c r="U259" s="25">
        <f t="shared" si="151"/>
        <v>0</v>
      </c>
      <c r="V259" s="25">
        <f t="shared" si="151"/>
        <v>0</v>
      </c>
      <c r="W259" s="25">
        <f t="shared" si="151"/>
        <v>0</v>
      </c>
      <c r="X259" s="25">
        <f t="shared" si="151"/>
        <v>0</v>
      </c>
    </row>
    <row r="260" spans="2:24" outlineLevel="1" x14ac:dyDescent="0.2">
      <c r="B260" s="17" t="s">
        <v>125</v>
      </c>
      <c r="D260" s="14"/>
      <c r="E260" s="25">
        <f>-E162</f>
        <v>42000834.396064915</v>
      </c>
      <c r="F260" s="25">
        <f t="shared" ref="F260:X260" si="152">-F162</f>
        <v>47732228.655802466</v>
      </c>
      <c r="G260" s="25">
        <f t="shared" si="152"/>
        <v>56220644.124381959</v>
      </c>
      <c r="H260" s="25">
        <f t="shared" si="152"/>
        <v>65725863.376970991</v>
      </c>
      <c r="I260" s="25">
        <f t="shared" si="152"/>
        <v>0</v>
      </c>
      <c r="J260" s="25">
        <f t="shared" si="152"/>
        <v>0</v>
      </c>
      <c r="K260" s="25">
        <f t="shared" si="152"/>
        <v>0</v>
      </c>
      <c r="L260" s="25">
        <f t="shared" si="152"/>
        <v>0</v>
      </c>
      <c r="M260" s="25">
        <f t="shared" si="152"/>
        <v>0</v>
      </c>
      <c r="N260" s="25">
        <f t="shared" si="152"/>
        <v>0</v>
      </c>
      <c r="O260" s="25">
        <f t="shared" si="152"/>
        <v>0</v>
      </c>
      <c r="P260" s="25">
        <f t="shared" si="152"/>
        <v>0</v>
      </c>
      <c r="Q260" s="25">
        <f t="shared" si="152"/>
        <v>0</v>
      </c>
      <c r="R260" s="25" t="e">
        <f t="shared" si="152"/>
        <v>#REF!</v>
      </c>
      <c r="S260" s="25" t="e">
        <f t="shared" si="152"/>
        <v>#REF!</v>
      </c>
      <c r="T260" s="25" t="e">
        <f t="shared" si="152"/>
        <v>#REF!</v>
      </c>
      <c r="U260" s="25" t="e">
        <f t="shared" si="152"/>
        <v>#REF!</v>
      </c>
      <c r="V260" s="25" t="e">
        <f t="shared" si="152"/>
        <v>#REF!</v>
      </c>
      <c r="W260" s="25" t="e">
        <f t="shared" si="152"/>
        <v>#REF!</v>
      </c>
      <c r="X260" s="25" t="e">
        <f t="shared" si="152"/>
        <v>#REF!</v>
      </c>
    </row>
    <row r="261" spans="2:24" outlineLevel="1" x14ac:dyDescent="0.2">
      <c r="B261" s="17" t="s">
        <v>126</v>
      </c>
      <c r="D261" s="14"/>
      <c r="E261" s="25">
        <f>+E167</f>
        <v>48918618.884828545</v>
      </c>
      <c r="F261" s="25">
        <f t="shared" ref="F261:X261" si="153">+F167</f>
        <v>55594007.493228756</v>
      </c>
      <c r="G261" s="25">
        <f t="shared" si="153"/>
        <v>65480514.921338975</v>
      </c>
      <c r="H261" s="25">
        <f t="shared" si="153"/>
        <v>76551299.697883844</v>
      </c>
      <c r="I261" s="25">
        <f t="shared" si="153"/>
        <v>0</v>
      </c>
      <c r="J261" s="25">
        <f t="shared" si="153"/>
        <v>0</v>
      </c>
      <c r="K261" s="25">
        <f t="shared" si="153"/>
        <v>0</v>
      </c>
      <c r="L261" s="25">
        <f t="shared" si="153"/>
        <v>0</v>
      </c>
      <c r="M261" s="25">
        <f t="shared" si="153"/>
        <v>0</v>
      </c>
      <c r="N261" s="25">
        <f t="shared" si="153"/>
        <v>0</v>
      </c>
      <c r="O261" s="25">
        <f t="shared" si="153"/>
        <v>0</v>
      </c>
      <c r="P261" s="25">
        <f t="shared" si="153"/>
        <v>0</v>
      </c>
      <c r="Q261" s="25">
        <f t="shared" si="153"/>
        <v>0</v>
      </c>
      <c r="R261" s="25" t="e">
        <f t="shared" si="153"/>
        <v>#REF!</v>
      </c>
      <c r="S261" s="25" t="e">
        <f t="shared" si="153"/>
        <v>#REF!</v>
      </c>
      <c r="T261" s="25" t="e">
        <f t="shared" si="153"/>
        <v>#REF!</v>
      </c>
      <c r="U261" s="25" t="e">
        <f t="shared" si="153"/>
        <v>#REF!</v>
      </c>
      <c r="V261" s="25" t="e">
        <f t="shared" si="153"/>
        <v>#REF!</v>
      </c>
      <c r="W261" s="25" t="e">
        <f t="shared" si="153"/>
        <v>#REF!</v>
      </c>
      <c r="X261" s="25" t="e">
        <f t="shared" si="153"/>
        <v>#REF!</v>
      </c>
    </row>
    <row r="262" spans="2:24" outlineLevel="1" x14ac:dyDescent="0.2"/>
    <row r="263" spans="2:24" outlineLevel="1" x14ac:dyDescent="0.2"/>
    <row r="264" spans="2:24" outlineLevel="1" x14ac:dyDescent="0.2">
      <c r="B264" s="66" t="s">
        <v>127</v>
      </c>
      <c r="D264" s="67">
        <f>+D266</f>
        <v>27372000</v>
      </c>
      <c r="E264" s="67">
        <f t="shared" ref="E264:X264" si="154">+E266</f>
        <v>25956496.960032355</v>
      </c>
      <c r="F264" s="67">
        <f t="shared" si="154"/>
        <v>24342823.494469251</v>
      </c>
      <c r="G264" s="67">
        <f t="shared" si="154"/>
        <v>22503235.743727311</v>
      </c>
      <c r="H264" s="67">
        <f t="shared" si="154"/>
        <v>20406105.707881503</v>
      </c>
      <c r="I264" s="67">
        <f t="shared" si="154"/>
        <v>18015377.467017274</v>
      </c>
      <c r="J264" s="67">
        <f t="shared" si="154"/>
        <v>15289947.272432061</v>
      </c>
      <c r="K264" s="67">
        <f t="shared" si="154"/>
        <v>12182956.850604923</v>
      </c>
      <c r="L264" s="67">
        <f t="shared" si="154"/>
        <v>8640987.7697219905</v>
      </c>
      <c r="M264" s="67">
        <f t="shared" si="154"/>
        <v>4603143.0175154489</v>
      </c>
      <c r="N264" s="67">
        <f t="shared" si="154"/>
        <v>-2.3865140974521637E-9</v>
      </c>
      <c r="O264" s="67">
        <f t="shared" si="154"/>
        <v>0</v>
      </c>
      <c r="P264" s="67">
        <f t="shared" si="154"/>
        <v>0</v>
      </c>
      <c r="Q264" s="67">
        <f t="shared" si="154"/>
        <v>0</v>
      </c>
      <c r="R264" s="67">
        <f t="shared" si="154"/>
        <v>0</v>
      </c>
      <c r="S264" s="67">
        <f t="shared" si="154"/>
        <v>0</v>
      </c>
      <c r="T264" s="67">
        <f t="shared" si="154"/>
        <v>0</v>
      </c>
      <c r="U264" s="67">
        <f t="shared" si="154"/>
        <v>0</v>
      </c>
      <c r="V264" s="67">
        <f t="shared" si="154"/>
        <v>0</v>
      </c>
      <c r="W264" s="67">
        <f t="shared" si="154"/>
        <v>0</v>
      </c>
      <c r="X264" s="67">
        <f t="shared" si="154"/>
        <v>0</v>
      </c>
    </row>
    <row r="265" spans="2:24" outlineLevel="1" x14ac:dyDescent="0.2">
      <c r="D265" s="25"/>
      <c r="E265" s="25"/>
      <c r="F265" s="25"/>
      <c r="G265" s="25"/>
      <c r="H265" s="25"/>
      <c r="I265" s="25"/>
      <c r="J265" s="25"/>
      <c r="K265" s="25"/>
      <c r="L265" s="25"/>
      <c r="M265" s="25"/>
      <c r="N265" s="25"/>
      <c r="O265" s="25"/>
      <c r="P265" s="25"/>
      <c r="Q265" s="25"/>
      <c r="R265" s="25"/>
      <c r="S265" s="25"/>
      <c r="T265" s="25"/>
      <c r="U265" s="25"/>
      <c r="V265" s="25"/>
      <c r="W265" s="25"/>
      <c r="X265" s="25"/>
    </row>
    <row r="266" spans="2:24" outlineLevel="1" x14ac:dyDescent="0.2">
      <c r="B266" s="17" t="s">
        <v>128</v>
      </c>
      <c r="D266" s="65">
        <f>+D219*D82</f>
        <v>27372000</v>
      </c>
      <c r="E266" s="25">
        <f>+'Tabla de Amortización'!L43</f>
        <v>25956496.960032355</v>
      </c>
      <c r="F266" s="25">
        <f>+'Tabla de Amortización'!M43</f>
        <v>24342823.494469251</v>
      </c>
      <c r="G266" s="25">
        <f>+'Tabla de Amortización'!N43</f>
        <v>22503235.743727311</v>
      </c>
      <c r="H266" s="25">
        <f>+'Tabla de Amortización'!O43</f>
        <v>20406105.707881503</v>
      </c>
      <c r="I266" s="25">
        <f>+'Tabla de Amortización'!P43</f>
        <v>18015377.467017274</v>
      </c>
      <c r="J266" s="25">
        <f>+'Tabla de Amortización'!Q43</f>
        <v>15289947.272432061</v>
      </c>
      <c r="K266" s="25">
        <f>+'Tabla de Amortización'!R43</f>
        <v>12182956.850604923</v>
      </c>
      <c r="L266" s="25">
        <f>+'Tabla de Amortización'!S43</f>
        <v>8640987.7697219905</v>
      </c>
      <c r="M266" s="25">
        <f>+'Tabla de Amortización'!T43</f>
        <v>4603143.0175154489</v>
      </c>
      <c r="N266" s="25">
        <f>+'Tabla de Amortización'!U43</f>
        <v>-2.3865140974521637E-9</v>
      </c>
      <c r="O266" s="25">
        <f>+'Tabla de Amortización'!V43</f>
        <v>0</v>
      </c>
      <c r="P266" s="25">
        <f>+'Tabla de Amortización'!W43</f>
        <v>0</v>
      </c>
      <c r="Q266" s="25">
        <f>+'Tabla de Amortización'!X43</f>
        <v>0</v>
      </c>
      <c r="R266" s="25">
        <f>+'Tabla de Amortización'!Y43</f>
        <v>0</v>
      </c>
      <c r="S266" s="25">
        <f>+'Tabla de Amortización'!Z43</f>
        <v>0</v>
      </c>
      <c r="T266" s="25">
        <f>+'Tabla de Amortización'!AA43</f>
        <v>0</v>
      </c>
      <c r="U266" s="25">
        <f>+'Tabla de Amortización'!AB43</f>
        <v>0</v>
      </c>
      <c r="V266" s="25">
        <f>+'Tabla de Amortización'!AC43</f>
        <v>0</v>
      </c>
      <c r="W266" s="25">
        <f>+'Tabla de Amortización'!AD43</f>
        <v>0</v>
      </c>
      <c r="X266" s="25">
        <f>+'Tabla de Amortización'!AE43</f>
        <v>0</v>
      </c>
    </row>
    <row r="267" spans="2:24" outlineLevel="1" x14ac:dyDescent="0.2">
      <c r="D267" s="25"/>
      <c r="E267" s="25"/>
      <c r="F267" s="25"/>
      <c r="G267" s="25"/>
      <c r="H267" s="25"/>
      <c r="I267" s="25"/>
      <c r="J267" s="25"/>
      <c r="K267" s="25"/>
      <c r="L267" s="25"/>
      <c r="M267" s="25"/>
      <c r="N267" s="25"/>
      <c r="O267" s="25"/>
      <c r="P267" s="25"/>
      <c r="Q267" s="25"/>
      <c r="R267" s="25"/>
      <c r="S267" s="25"/>
      <c r="T267" s="25"/>
      <c r="U267" s="25"/>
      <c r="V267" s="25"/>
      <c r="W267" s="25"/>
      <c r="X267" s="25"/>
    </row>
    <row r="268" spans="2:24" outlineLevel="1" x14ac:dyDescent="0.2">
      <c r="D268" s="25"/>
      <c r="E268" s="25"/>
      <c r="F268" s="25"/>
      <c r="G268" s="25"/>
      <c r="H268" s="25"/>
      <c r="I268" s="25"/>
      <c r="J268" s="25"/>
      <c r="K268" s="25"/>
      <c r="L268" s="25"/>
      <c r="M268" s="25"/>
      <c r="N268" s="25"/>
      <c r="O268" s="25"/>
      <c r="P268" s="25"/>
      <c r="Q268" s="25"/>
      <c r="R268" s="25"/>
      <c r="S268" s="25"/>
      <c r="T268" s="25"/>
      <c r="U268" s="25"/>
      <c r="V268" s="25"/>
      <c r="W268" s="25"/>
      <c r="X268" s="25"/>
    </row>
    <row r="269" spans="2:24" outlineLevel="1" x14ac:dyDescent="0.2">
      <c r="B269" s="8" t="s">
        <v>129</v>
      </c>
      <c r="D269" s="42">
        <f>+SUM(D271:D273)</f>
        <v>18248000</v>
      </c>
      <c r="E269" s="42">
        <f t="shared" ref="E269:X269" si="155">+SUM(E271:E273)</f>
        <v>107932134.62218568</v>
      </c>
      <c r="F269" s="42">
        <f t="shared" si="155"/>
        <v>201701378.54563364</v>
      </c>
      <c r="G269" s="42">
        <f t="shared" si="155"/>
        <v>312483321.31921697</v>
      </c>
      <c r="H269" s="42">
        <f t="shared" si="155"/>
        <v>441913951.61178088</v>
      </c>
      <c r="I269" s="42">
        <f t="shared" si="155"/>
        <v>427314882.33201617</v>
      </c>
      <c r="J269" s="42">
        <f t="shared" si="155"/>
        <v>426527661.04817778</v>
      </c>
      <c r="K269" s="42">
        <f t="shared" si="155"/>
        <v>425358879.53709745</v>
      </c>
      <c r="L269" s="42">
        <f t="shared" si="155"/>
        <v>423755119.3669613</v>
      </c>
      <c r="M269" s="42">
        <f t="shared" si="155"/>
        <v>421655483.52550155</v>
      </c>
      <c r="N269" s="42">
        <f t="shared" si="155"/>
        <v>418990549.41873288</v>
      </c>
      <c r="O269" s="42">
        <f t="shared" si="155"/>
        <v>418990549.41873288</v>
      </c>
      <c r="P269" s="42">
        <f t="shared" si="155"/>
        <v>418990549.41873288</v>
      </c>
      <c r="Q269" s="42">
        <f t="shared" si="155"/>
        <v>418990549.41873288</v>
      </c>
      <c r="R269" s="42" t="e">
        <f t="shared" si="155"/>
        <v>#REF!</v>
      </c>
      <c r="S269" s="42" t="e">
        <f t="shared" si="155"/>
        <v>#REF!</v>
      </c>
      <c r="T269" s="42" t="e">
        <f t="shared" si="155"/>
        <v>#REF!</v>
      </c>
      <c r="U269" s="42" t="e">
        <f t="shared" si="155"/>
        <v>#REF!</v>
      </c>
      <c r="V269" s="42" t="e">
        <f t="shared" si="155"/>
        <v>#REF!</v>
      </c>
      <c r="W269" s="42" t="e">
        <f t="shared" si="155"/>
        <v>#REF!</v>
      </c>
      <c r="X269" s="42" t="e">
        <f t="shared" si="155"/>
        <v>#REF!</v>
      </c>
    </row>
    <row r="270" spans="2:24" outlineLevel="1" x14ac:dyDescent="0.2">
      <c r="D270" s="25"/>
      <c r="E270" s="25"/>
      <c r="F270" s="25"/>
      <c r="G270" s="25"/>
      <c r="H270" s="25"/>
      <c r="I270" s="25"/>
      <c r="J270" s="25"/>
      <c r="K270" s="25"/>
      <c r="L270" s="25"/>
      <c r="M270" s="25"/>
      <c r="N270" s="25"/>
      <c r="O270" s="25"/>
      <c r="P270" s="25"/>
      <c r="Q270" s="25"/>
      <c r="R270" s="25"/>
      <c r="S270" s="25"/>
      <c r="T270" s="25"/>
      <c r="U270" s="25"/>
      <c r="V270" s="25"/>
      <c r="W270" s="25"/>
      <c r="X270" s="25"/>
    </row>
    <row r="271" spans="2:24" outlineLevel="1" x14ac:dyDescent="0.2">
      <c r="B271" s="17" t="s">
        <v>130</v>
      </c>
      <c r="D271" s="25">
        <f>+D219*D83</f>
        <v>18248000</v>
      </c>
      <c r="E271" s="25">
        <f>+D271</f>
        <v>18248000</v>
      </c>
      <c r="F271" s="25">
        <f t="shared" ref="F271:X271" si="156">+E271</f>
        <v>18248000</v>
      </c>
      <c r="G271" s="25">
        <f t="shared" si="156"/>
        <v>18248000</v>
      </c>
      <c r="H271" s="25">
        <f t="shared" si="156"/>
        <v>18248000</v>
      </c>
      <c r="I271" s="25">
        <f t="shared" si="156"/>
        <v>18248000</v>
      </c>
      <c r="J271" s="25">
        <f t="shared" si="156"/>
        <v>18248000</v>
      </c>
      <c r="K271" s="25">
        <f t="shared" si="156"/>
        <v>18248000</v>
      </c>
      <c r="L271" s="25">
        <f t="shared" si="156"/>
        <v>18248000</v>
      </c>
      <c r="M271" s="25">
        <f t="shared" si="156"/>
        <v>18248000</v>
      </c>
      <c r="N271" s="25">
        <f t="shared" si="156"/>
        <v>18248000</v>
      </c>
      <c r="O271" s="25">
        <f t="shared" si="156"/>
        <v>18248000</v>
      </c>
      <c r="P271" s="25">
        <f t="shared" si="156"/>
        <v>18248000</v>
      </c>
      <c r="Q271" s="25">
        <f t="shared" si="156"/>
        <v>18248000</v>
      </c>
      <c r="R271" s="25">
        <f t="shared" si="156"/>
        <v>18248000</v>
      </c>
      <c r="S271" s="25">
        <f t="shared" si="156"/>
        <v>18248000</v>
      </c>
      <c r="T271" s="25">
        <f t="shared" si="156"/>
        <v>18248000</v>
      </c>
      <c r="U271" s="25">
        <f t="shared" si="156"/>
        <v>18248000</v>
      </c>
      <c r="V271" s="25">
        <f t="shared" si="156"/>
        <v>18248000</v>
      </c>
      <c r="W271" s="25">
        <f t="shared" si="156"/>
        <v>18248000</v>
      </c>
      <c r="X271" s="25">
        <f t="shared" si="156"/>
        <v>18248000</v>
      </c>
    </row>
    <row r="272" spans="2:24" outlineLevel="1" x14ac:dyDescent="0.2">
      <c r="B272" s="17" t="s">
        <v>131</v>
      </c>
      <c r="D272" s="25"/>
      <c r="E272" s="25">
        <f>+E166</f>
        <v>8153103.1474714251</v>
      </c>
      <c r="F272" s="25">
        <f t="shared" ref="F272:X272" si="157">+F166</f>
        <v>9265667.9155381266</v>
      </c>
      <c r="G272" s="25">
        <f t="shared" si="157"/>
        <v>10913419.153556496</v>
      </c>
      <c r="H272" s="25">
        <f t="shared" si="157"/>
        <v>12758549.949647309</v>
      </c>
      <c r="I272" s="25">
        <f t="shared" si="157"/>
        <v>0</v>
      </c>
      <c r="J272" s="25">
        <f t="shared" si="157"/>
        <v>0</v>
      </c>
      <c r="K272" s="25">
        <f t="shared" si="157"/>
        <v>0</v>
      </c>
      <c r="L272" s="25">
        <f t="shared" si="157"/>
        <v>0</v>
      </c>
      <c r="M272" s="25">
        <f t="shared" si="157"/>
        <v>0</v>
      </c>
      <c r="N272" s="25">
        <f t="shared" si="157"/>
        <v>0</v>
      </c>
      <c r="O272" s="25">
        <f t="shared" si="157"/>
        <v>0</v>
      </c>
      <c r="P272" s="25">
        <f t="shared" si="157"/>
        <v>0</v>
      </c>
      <c r="Q272" s="25">
        <f t="shared" si="157"/>
        <v>0</v>
      </c>
      <c r="R272" s="25" t="e">
        <f t="shared" si="157"/>
        <v>#REF!</v>
      </c>
      <c r="S272" s="25" t="e">
        <f t="shared" si="157"/>
        <v>#REF!</v>
      </c>
      <c r="T272" s="25" t="e">
        <f t="shared" si="157"/>
        <v>#REF!</v>
      </c>
      <c r="U272" s="25" t="e">
        <f t="shared" si="157"/>
        <v>#REF!</v>
      </c>
      <c r="V272" s="25" t="e">
        <f t="shared" si="157"/>
        <v>#REF!</v>
      </c>
      <c r="W272" s="25" t="e">
        <f t="shared" si="157"/>
        <v>#REF!</v>
      </c>
      <c r="X272" s="25" t="e">
        <f t="shared" si="157"/>
        <v>#REF!</v>
      </c>
    </row>
    <row r="273" spans="2:24" outlineLevel="1" x14ac:dyDescent="0.2">
      <c r="B273" s="17" t="s">
        <v>86</v>
      </c>
      <c r="D273" s="25"/>
      <c r="E273" s="65">
        <f>+E164</f>
        <v>81531031.474714249</v>
      </c>
      <c r="F273" s="25">
        <f t="shared" ref="F273:X273" si="158">+E273+F164</f>
        <v>174187710.63009551</v>
      </c>
      <c r="G273" s="25">
        <f t="shared" si="158"/>
        <v>283321902.1656605</v>
      </c>
      <c r="H273" s="25">
        <f t="shared" si="158"/>
        <v>410907401.66213357</v>
      </c>
      <c r="I273" s="25">
        <f t="shared" si="158"/>
        <v>409066882.33201617</v>
      </c>
      <c r="J273" s="25">
        <f t="shared" si="158"/>
        <v>408279661.04817778</v>
      </c>
      <c r="K273" s="25">
        <f t="shared" si="158"/>
        <v>407110879.53709745</v>
      </c>
      <c r="L273" s="25">
        <f t="shared" si="158"/>
        <v>405507119.3669613</v>
      </c>
      <c r="M273" s="25">
        <f t="shared" si="158"/>
        <v>403407483.52550155</v>
      </c>
      <c r="N273" s="25">
        <f t="shared" si="158"/>
        <v>400742549.41873288</v>
      </c>
      <c r="O273" s="25">
        <f t="shared" si="158"/>
        <v>400742549.41873288</v>
      </c>
      <c r="P273" s="25">
        <f t="shared" si="158"/>
        <v>400742549.41873288</v>
      </c>
      <c r="Q273" s="25">
        <f t="shared" si="158"/>
        <v>400742549.41873288</v>
      </c>
      <c r="R273" s="25" t="e">
        <f t="shared" si="158"/>
        <v>#REF!</v>
      </c>
      <c r="S273" s="25" t="e">
        <f t="shared" si="158"/>
        <v>#REF!</v>
      </c>
      <c r="T273" s="25" t="e">
        <f t="shared" si="158"/>
        <v>#REF!</v>
      </c>
      <c r="U273" s="25" t="e">
        <f t="shared" si="158"/>
        <v>#REF!</v>
      </c>
      <c r="V273" s="25" t="e">
        <f t="shared" si="158"/>
        <v>#REF!</v>
      </c>
      <c r="W273" s="25" t="e">
        <f t="shared" si="158"/>
        <v>#REF!</v>
      </c>
      <c r="X273" s="25" t="e">
        <f t="shared" si="158"/>
        <v>#REF!</v>
      </c>
    </row>
    <row r="274" spans="2:24" outlineLevel="1" x14ac:dyDescent="0.2">
      <c r="D274" s="25"/>
      <c r="E274" s="25"/>
      <c r="F274" s="25"/>
      <c r="G274" s="25"/>
      <c r="H274" s="25"/>
      <c r="I274" s="25"/>
      <c r="J274" s="25"/>
      <c r="K274" s="25"/>
      <c r="L274" s="25"/>
      <c r="M274" s="25"/>
      <c r="N274" s="25"/>
      <c r="O274" s="25"/>
      <c r="P274" s="25"/>
      <c r="Q274" s="25"/>
      <c r="R274" s="25"/>
      <c r="S274" s="25"/>
      <c r="T274" s="25"/>
      <c r="U274" s="25"/>
      <c r="V274" s="25"/>
      <c r="W274" s="25"/>
      <c r="X274" s="25"/>
    </row>
    <row r="275" spans="2:24" outlineLevel="1" x14ac:dyDescent="0.2">
      <c r="B275" s="59" t="s">
        <v>132</v>
      </c>
      <c r="D275" s="60">
        <f>+D269+D255</f>
        <v>45620000</v>
      </c>
      <c r="E275" s="60">
        <f t="shared" ref="E275:X275" si="159">+E269+E255</f>
        <v>224808084.8631115</v>
      </c>
      <c r="F275" s="60">
        <f t="shared" si="159"/>
        <v>329370438.18913412</v>
      </c>
      <c r="G275" s="60">
        <f t="shared" si="159"/>
        <v>456687716.10866523</v>
      </c>
      <c r="H275" s="60">
        <f t="shared" si="159"/>
        <v>604597220.39451718</v>
      </c>
      <c r="I275" s="60">
        <f t="shared" si="159"/>
        <v>445330259.79903346</v>
      </c>
      <c r="J275" s="60">
        <f>+J269+J255</f>
        <v>441817608.32060987</v>
      </c>
      <c r="K275" s="60">
        <f t="shared" si="159"/>
        <v>437541836.38770241</v>
      </c>
      <c r="L275" s="60">
        <f t="shared" si="159"/>
        <v>432396107.13668329</v>
      </c>
      <c r="M275" s="60">
        <f t="shared" si="159"/>
        <v>426258626.54301697</v>
      </c>
      <c r="N275" s="60">
        <f t="shared" si="159"/>
        <v>418990549.41873288</v>
      </c>
      <c r="O275" s="60">
        <f t="shared" si="159"/>
        <v>418990549.41873288</v>
      </c>
      <c r="P275" s="60">
        <f t="shared" si="159"/>
        <v>418990549.41873288</v>
      </c>
      <c r="Q275" s="60">
        <f t="shared" si="159"/>
        <v>418990549.41873288</v>
      </c>
      <c r="R275" s="60" t="e">
        <f t="shared" si="159"/>
        <v>#REF!</v>
      </c>
      <c r="S275" s="60" t="e">
        <f t="shared" si="159"/>
        <v>#REF!</v>
      </c>
      <c r="T275" s="60" t="e">
        <f t="shared" si="159"/>
        <v>#REF!</v>
      </c>
      <c r="U275" s="60" t="e">
        <f t="shared" si="159"/>
        <v>#REF!</v>
      </c>
      <c r="V275" s="60" t="e">
        <f t="shared" si="159"/>
        <v>#REF!</v>
      </c>
      <c r="W275" s="60" t="e">
        <f t="shared" si="159"/>
        <v>#REF!</v>
      </c>
      <c r="X275" s="60" t="e">
        <f t="shared" si="159"/>
        <v>#REF!</v>
      </c>
    </row>
    <row r="276" spans="2:24" outlineLevel="1" x14ac:dyDescent="0.2">
      <c r="D276" s="25"/>
      <c r="E276" s="25"/>
      <c r="F276" s="25"/>
      <c r="G276" s="25"/>
      <c r="H276" s="25"/>
      <c r="I276" s="25"/>
      <c r="J276" s="25"/>
      <c r="K276" s="25"/>
      <c r="L276" s="25"/>
      <c r="M276" s="25"/>
      <c r="N276" s="25"/>
      <c r="O276" s="25"/>
      <c r="P276" s="25"/>
      <c r="Q276" s="25"/>
      <c r="R276" s="25"/>
      <c r="S276" s="25"/>
      <c r="T276" s="25"/>
      <c r="U276" s="25"/>
      <c r="V276" s="25"/>
      <c r="W276" s="25"/>
      <c r="X276" s="25"/>
    </row>
    <row r="277" spans="2:24" outlineLevel="1" x14ac:dyDescent="0.2">
      <c r="B277" s="3" t="s">
        <v>133</v>
      </c>
      <c r="D277" s="58">
        <f t="shared" ref="D277:X277" si="160">+D275-D227</f>
        <v>5880000</v>
      </c>
      <c r="E277" s="58">
        <f t="shared" si="160"/>
        <v>3048993.9200647175</v>
      </c>
      <c r="F277" s="58">
        <f t="shared" si="160"/>
        <v>-178353.01106148958</v>
      </c>
      <c r="G277" s="58">
        <f t="shared" si="160"/>
        <v>-3857528.5125453472</v>
      </c>
      <c r="H277" s="58">
        <f t="shared" si="160"/>
        <v>-8051788.5842369795</v>
      </c>
      <c r="I277" s="58">
        <f t="shared" si="160"/>
        <v>-12833245.065965354</v>
      </c>
      <c r="J277" s="58">
        <f t="shared" si="160"/>
        <v>-18284105.455135763</v>
      </c>
      <c r="K277" s="58">
        <f t="shared" si="160"/>
        <v>-24498086.298790038</v>
      </c>
      <c r="L277" s="58">
        <f t="shared" si="160"/>
        <v>-31582024.460555971</v>
      </c>
      <c r="M277" s="58">
        <f t="shared" si="160"/>
        <v>-39657713.964969099</v>
      </c>
      <c r="N277" s="58">
        <f t="shared" si="160"/>
        <v>-48864000</v>
      </c>
      <c r="O277" s="58">
        <f t="shared" si="160"/>
        <v>-48864000</v>
      </c>
      <c r="P277" s="58">
        <f t="shared" si="160"/>
        <v>-48864000</v>
      </c>
      <c r="Q277" s="58">
        <f t="shared" si="160"/>
        <v>-48864000</v>
      </c>
      <c r="R277" s="58" t="e">
        <f t="shared" si="160"/>
        <v>#REF!</v>
      </c>
      <c r="S277" s="58" t="e">
        <f t="shared" si="160"/>
        <v>#REF!</v>
      </c>
      <c r="T277" s="58" t="e">
        <f t="shared" si="160"/>
        <v>#REF!</v>
      </c>
      <c r="U277" s="58" t="e">
        <f t="shared" si="160"/>
        <v>#REF!</v>
      </c>
      <c r="V277" s="58" t="e">
        <f t="shared" si="160"/>
        <v>#REF!</v>
      </c>
      <c r="W277" s="58" t="e">
        <f t="shared" si="160"/>
        <v>#REF!</v>
      </c>
      <c r="X277" s="58" t="e">
        <f t="shared" si="160"/>
        <v>#REF!</v>
      </c>
    </row>
    <row r="278" spans="2:24" outlineLevel="1" x14ac:dyDescent="0.2"/>
    <row r="279" spans="2:24" x14ac:dyDescent="0.2">
      <c r="D279" s="29"/>
      <c r="E279" s="29"/>
      <c r="F279" s="29"/>
      <c r="G279" s="29"/>
      <c r="H279" s="29"/>
    </row>
    <row r="280" spans="2:24" ht="18.75" x14ac:dyDescent="0.3">
      <c r="B280" s="10" t="s">
        <v>134</v>
      </c>
    </row>
    <row r="283" spans="2:24" ht="15.75" thickBot="1" x14ac:dyDescent="0.3">
      <c r="B283" s="75" t="s">
        <v>135</v>
      </c>
    </row>
    <row r="284" spans="2:24" x14ac:dyDescent="0.2">
      <c r="B284" s="76" t="s">
        <v>136</v>
      </c>
      <c r="D284" s="14"/>
      <c r="E284" s="77">
        <f>IFERROR(E229-E257,"")</f>
        <v>96187637.662153319</v>
      </c>
      <c r="F284" s="77">
        <f t="shared" ref="F284:X284" si="161">IFERROR(F229-F257,"")</f>
        <v>196658555.05116439</v>
      </c>
      <c r="G284" s="77">
        <f t="shared" si="161"/>
        <v>314368085.57548964</v>
      </c>
      <c r="H284" s="77">
        <f t="shared" si="161"/>
        <v>450983845.90389931</v>
      </c>
      <c r="I284" s="77">
        <f t="shared" si="161"/>
        <v>443163504.86499882</v>
      </c>
      <c r="J284" s="77">
        <f t="shared" si="161"/>
        <v>448101713.77574563</v>
      </c>
      <c r="K284" s="77">
        <f t="shared" si="161"/>
        <v>453039922.68649244</v>
      </c>
      <c r="L284" s="77">
        <f t="shared" si="161"/>
        <v>457978131.59723926</v>
      </c>
      <c r="M284" s="77">
        <f t="shared" si="161"/>
        <v>462916340.50798607</v>
      </c>
      <c r="N284" s="77">
        <f t="shared" si="161"/>
        <v>467854549.41873288</v>
      </c>
      <c r="O284" s="77">
        <f t="shared" si="161"/>
        <v>467854549.41873288</v>
      </c>
      <c r="P284" s="77">
        <f t="shared" si="161"/>
        <v>467854549.41873288</v>
      </c>
      <c r="Q284" s="77">
        <f t="shared" si="161"/>
        <v>467854549.41873288</v>
      </c>
      <c r="R284" s="77" t="str">
        <f t="shared" si="161"/>
        <v/>
      </c>
      <c r="S284" s="77" t="str">
        <f t="shared" si="161"/>
        <v/>
      </c>
      <c r="T284" s="77" t="str">
        <f t="shared" si="161"/>
        <v/>
      </c>
      <c r="U284" s="77" t="str">
        <f t="shared" si="161"/>
        <v/>
      </c>
      <c r="V284" s="77" t="str">
        <f t="shared" si="161"/>
        <v/>
      </c>
      <c r="W284" s="77" t="str">
        <f t="shared" si="161"/>
        <v/>
      </c>
      <c r="X284" s="77" t="str">
        <f t="shared" si="161"/>
        <v/>
      </c>
    </row>
    <row r="285" spans="2:24" x14ac:dyDescent="0.2">
      <c r="B285" s="78" t="s">
        <v>137</v>
      </c>
      <c r="D285" s="14"/>
      <c r="E285" s="77">
        <f>IFERROR(E233+E232-E259,"")</f>
        <v>3.1349999999999994E-48</v>
      </c>
      <c r="F285" s="77">
        <f t="shared" ref="F285:X285" si="162">IFERROR(F233+F232-F259,"")</f>
        <v>0</v>
      </c>
      <c r="G285" s="77">
        <f t="shared" si="162"/>
        <v>0</v>
      </c>
      <c r="H285" s="77">
        <f t="shared" si="162"/>
        <v>0</v>
      </c>
      <c r="I285" s="77">
        <f t="shared" si="162"/>
        <v>0</v>
      </c>
      <c r="J285" s="77">
        <f t="shared" si="162"/>
        <v>0</v>
      </c>
      <c r="K285" s="77">
        <f t="shared" si="162"/>
        <v>0</v>
      </c>
      <c r="L285" s="77">
        <f t="shared" si="162"/>
        <v>0</v>
      </c>
      <c r="M285" s="77">
        <f t="shared" si="162"/>
        <v>0</v>
      </c>
      <c r="N285" s="77">
        <f t="shared" si="162"/>
        <v>0</v>
      </c>
      <c r="O285" s="77">
        <f t="shared" si="162"/>
        <v>0</v>
      </c>
      <c r="P285" s="77">
        <f t="shared" si="162"/>
        <v>0</v>
      </c>
      <c r="Q285" s="77">
        <f t="shared" si="162"/>
        <v>0</v>
      </c>
      <c r="R285" s="77">
        <f t="shared" si="162"/>
        <v>0</v>
      </c>
      <c r="S285" s="77">
        <f t="shared" si="162"/>
        <v>0</v>
      </c>
      <c r="T285" s="77">
        <f t="shared" si="162"/>
        <v>0</v>
      </c>
      <c r="U285" s="77">
        <f t="shared" si="162"/>
        <v>0</v>
      </c>
      <c r="V285" s="77">
        <f t="shared" si="162"/>
        <v>0</v>
      </c>
      <c r="W285" s="77">
        <f t="shared" si="162"/>
        <v>0</v>
      </c>
      <c r="X285" s="77">
        <f t="shared" si="162"/>
        <v>0</v>
      </c>
    </row>
    <row r="286" spans="2:24" x14ac:dyDescent="0.2">
      <c r="B286" s="79" t="s">
        <v>138</v>
      </c>
      <c r="D286" s="14"/>
      <c r="E286" s="80">
        <f t="shared" ref="E286:X286" si="163">IFERROR(E229/E257,"")</f>
        <v>2.0579434234495881</v>
      </c>
      <c r="F286" s="80">
        <f t="shared" si="163"/>
        <v>2.9032780287043121</v>
      </c>
      <c r="G286" s="80">
        <f t="shared" si="163"/>
        <v>3.5831149681769849</v>
      </c>
      <c r="H286" s="80">
        <f t="shared" si="163"/>
        <v>4.1697556807948706</v>
      </c>
      <c r="I286" s="80" t="str">
        <f t="shared" si="163"/>
        <v/>
      </c>
      <c r="J286" s="80" t="str">
        <f t="shared" si="163"/>
        <v/>
      </c>
      <c r="K286" s="80" t="str">
        <f t="shared" si="163"/>
        <v/>
      </c>
      <c r="L286" s="80" t="str">
        <f t="shared" si="163"/>
        <v/>
      </c>
      <c r="M286" s="80" t="str">
        <f t="shared" si="163"/>
        <v/>
      </c>
      <c r="N286" s="80" t="str">
        <f t="shared" si="163"/>
        <v/>
      </c>
      <c r="O286" s="80" t="str">
        <f t="shared" si="163"/>
        <v/>
      </c>
      <c r="P286" s="80" t="str">
        <f t="shared" si="163"/>
        <v/>
      </c>
      <c r="Q286" s="80" t="str">
        <f t="shared" si="163"/>
        <v/>
      </c>
      <c r="R286" s="80" t="str">
        <f t="shared" si="163"/>
        <v/>
      </c>
      <c r="S286" s="80" t="str">
        <f t="shared" si="163"/>
        <v/>
      </c>
      <c r="T286" s="80" t="str">
        <f t="shared" si="163"/>
        <v/>
      </c>
      <c r="U286" s="80" t="str">
        <f t="shared" si="163"/>
        <v/>
      </c>
      <c r="V286" s="80" t="str">
        <f t="shared" si="163"/>
        <v/>
      </c>
      <c r="W286" s="80" t="str">
        <f t="shared" si="163"/>
        <v/>
      </c>
      <c r="X286" s="80" t="str">
        <f t="shared" si="163"/>
        <v/>
      </c>
    </row>
    <row r="287" spans="2:24" x14ac:dyDescent="0.2">
      <c r="B287" s="78" t="s">
        <v>139</v>
      </c>
      <c r="D287" s="14"/>
      <c r="E287" s="81">
        <f t="shared" ref="E287:X287" si="164">IFERROR(((E229-E233)/E257),"")</f>
        <v>2.0579434234495881</v>
      </c>
      <c r="F287" s="80">
        <f t="shared" si="164"/>
        <v>2.9032780287043121</v>
      </c>
      <c r="G287" s="80">
        <f t="shared" si="164"/>
        <v>3.5831149681769849</v>
      </c>
      <c r="H287" s="80">
        <f t="shared" si="164"/>
        <v>4.1697556807948706</v>
      </c>
      <c r="I287" s="80" t="str">
        <f t="shared" si="164"/>
        <v/>
      </c>
      <c r="J287" s="80" t="str">
        <f t="shared" si="164"/>
        <v/>
      </c>
      <c r="K287" s="80" t="str">
        <f t="shared" si="164"/>
        <v/>
      </c>
      <c r="L287" s="80" t="str">
        <f t="shared" si="164"/>
        <v/>
      </c>
      <c r="M287" s="80" t="str">
        <f t="shared" si="164"/>
        <v/>
      </c>
      <c r="N287" s="80" t="str">
        <f t="shared" si="164"/>
        <v/>
      </c>
      <c r="O287" s="80" t="str">
        <f t="shared" si="164"/>
        <v/>
      </c>
      <c r="P287" s="80" t="str">
        <f t="shared" si="164"/>
        <v/>
      </c>
      <c r="Q287" s="80" t="str">
        <f t="shared" si="164"/>
        <v/>
      </c>
      <c r="R287" s="80" t="str">
        <f t="shared" si="164"/>
        <v/>
      </c>
      <c r="S287" s="80" t="str">
        <f t="shared" si="164"/>
        <v/>
      </c>
      <c r="T287" s="80" t="str">
        <f t="shared" si="164"/>
        <v/>
      </c>
      <c r="U287" s="80" t="str">
        <f t="shared" si="164"/>
        <v/>
      </c>
      <c r="V287" s="80" t="str">
        <f t="shared" si="164"/>
        <v/>
      </c>
      <c r="W287" s="80" t="str">
        <f t="shared" si="164"/>
        <v/>
      </c>
      <c r="X287" s="80" t="str">
        <f t="shared" si="164"/>
        <v/>
      </c>
    </row>
    <row r="288" spans="2:24" x14ac:dyDescent="0.2">
      <c r="B288" s="79" t="s">
        <v>140</v>
      </c>
      <c r="D288" s="14"/>
      <c r="E288" s="82">
        <f>+E52</f>
        <v>0</v>
      </c>
      <c r="F288" s="82">
        <f t="shared" ref="F288:X288" si="165">+F52</f>
        <v>0</v>
      </c>
      <c r="G288" s="82">
        <f t="shared" si="165"/>
        <v>0</v>
      </c>
      <c r="H288" s="82">
        <f t="shared" si="165"/>
        <v>0</v>
      </c>
      <c r="I288" s="82">
        <f t="shared" si="165"/>
        <v>0</v>
      </c>
      <c r="J288" s="82">
        <f t="shared" si="165"/>
        <v>0</v>
      </c>
      <c r="K288" s="82">
        <f t="shared" si="165"/>
        <v>0</v>
      </c>
      <c r="L288" s="82">
        <f t="shared" si="165"/>
        <v>0</v>
      </c>
      <c r="M288" s="82">
        <f t="shared" si="165"/>
        <v>0</v>
      </c>
      <c r="N288" s="82">
        <f t="shared" si="165"/>
        <v>0</v>
      </c>
      <c r="O288" s="82">
        <f t="shared" si="165"/>
        <v>0</v>
      </c>
      <c r="P288" s="82">
        <f t="shared" si="165"/>
        <v>0</v>
      </c>
      <c r="Q288" s="82">
        <f t="shared" si="165"/>
        <v>0</v>
      </c>
      <c r="R288" s="82">
        <f t="shared" si="165"/>
        <v>0</v>
      </c>
      <c r="S288" s="82">
        <f t="shared" si="165"/>
        <v>0</v>
      </c>
      <c r="T288" s="82">
        <f t="shared" si="165"/>
        <v>0</v>
      </c>
      <c r="U288" s="82">
        <f t="shared" si="165"/>
        <v>0</v>
      </c>
      <c r="V288" s="82">
        <f t="shared" si="165"/>
        <v>0</v>
      </c>
      <c r="W288" s="82">
        <f t="shared" si="165"/>
        <v>0</v>
      </c>
      <c r="X288" s="82">
        <f t="shared" si="165"/>
        <v>0</v>
      </c>
    </row>
    <row r="289" spans="2:24" x14ac:dyDescent="0.2">
      <c r="B289" s="78" t="s">
        <v>141</v>
      </c>
      <c r="D289" s="14"/>
      <c r="E289" s="83" t="str">
        <f>IFERROR(360/E288,"")</f>
        <v/>
      </c>
      <c r="F289" s="83" t="str">
        <f t="shared" ref="F289:X289" si="166">IFERROR(360/F288,"")</f>
        <v/>
      </c>
      <c r="G289" s="83" t="str">
        <f t="shared" si="166"/>
        <v/>
      </c>
      <c r="H289" s="83" t="str">
        <f t="shared" si="166"/>
        <v/>
      </c>
      <c r="I289" s="83" t="str">
        <f t="shared" si="166"/>
        <v/>
      </c>
      <c r="J289" s="83" t="str">
        <f t="shared" si="166"/>
        <v/>
      </c>
      <c r="K289" s="83" t="str">
        <f t="shared" si="166"/>
        <v/>
      </c>
      <c r="L289" s="83" t="str">
        <f t="shared" si="166"/>
        <v/>
      </c>
      <c r="M289" s="83" t="str">
        <f t="shared" si="166"/>
        <v/>
      </c>
      <c r="N289" s="83" t="str">
        <f t="shared" si="166"/>
        <v/>
      </c>
      <c r="O289" s="83" t="str">
        <f t="shared" si="166"/>
        <v/>
      </c>
      <c r="P289" s="83" t="str">
        <f t="shared" si="166"/>
        <v/>
      </c>
      <c r="Q289" s="83" t="str">
        <f t="shared" si="166"/>
        <v/>
      </c>
      <c r="R289" s="83" t="str">
        <f t="shared" si="166"/>
        <v/>
      </c>
      <c r="S289" s="83" t="str">
        <f t="shared" si="166"/>
        <v/>
      </c>
      <c r="T289" s="83" t="str">
        <f t="shared" si="166"/>
        <v/>
      </c>
      <c r="U289" s="83" t="str">
        <f t="shared" si="166"/>
        <v/>
      </c>
      <c r="V289" s="83" t="str">
        <f t="shared" si="166"/>
        <v/>
      </c>
      <c r="W289" s="83" t="str">
        <f t="shared" si="166"/>
        <v/>
      </c>
      <c r="X289" s="83" t="str">
        <f t="shared" si="166"/>
        <v/>
      </c>
    </row>
    <row r="290" spans="2:24" x14ac:dyDescent="0.2">
      <c r="B290" s="79" t="s">
        <v>142</v>
      </c>
      <c r="D290" s="14"/>
      <c r="E290" s="82">
        <f>+E51</f>
        <v>0</v>
      </c>
      <c r="F290" s="82">
        <f t="shared" ref="F290:X290" si="167">+F51</f>
        <v>0</v>
      </c>
      <c r="G290" s="82">
        <f t="shared" si="167"/>
        <v>0</v>
      </c>
      <c r="H290" s="82">
        <f t="shared" si="167"/>
        <v>0</v>
      </c>
      <c r="I290" s="82">
        <f t="shared" si="167"/>
        <v>0</v>
      </c>
      <c r="J290" s="82">
        <f t="shared" si="167"/>
        <v>0</v>
      </c>
      <c r="K290" s="82">
        <f t="shared" si="167"/>
        <v>0</v>
      </c>
      <c r="L290" s="82">
        <f t="shared" si="167"/>
        <v>0</v>
      </c>
      <c r="M290" s="82">
        <f t="shared" si="167"/>
        <v>0</v>
      </c>
      <c r="N290" s="82">
        <f t="shared" si="167"/>
        <v>0</v>
      </c>
      <c r="O290" s="82">
        <f t="shared" si="167"/>
        <v>0</v>
      </c>
      <c r="P290" s="82">
        <f t="shared" si="167"/>
        <v>0</v>
      </c>
      <c r="Q290" s="82">
        <f t="shared" si="167"/>
        <v>0</v>
      </c>
      <c r="R290" s="82">
        <f t="shared" si="167"/>
        <v>0</v>
      </c>
      <c r="S290" s="82">
        <f t="shared" si="167"/>
        <v>0</v>
      </c>
      <c r="T290" s="82">
        <f t="shared" si="167"/>
        <v>0</v>
      </c>
      <c r="U290" s="82">
        <f t="shared" si="167"/>
        <v>0</v>
      </c>
      <c r="V290" s="82">
        <f t="shared" si="167"/>
        <v>0</v>
      </c>
      <c r="W290" s="82">
        <f t="shared" si="167"/>
        <v>0</v>
      </c>
      <c r="X290" s="82">
        <f t="shared" si="167"/>
        <v>0</v>
      </c>
    </row>
    <row r="291" spans="2:24" x14ac:dyDescent="0.2">
      <c r="B291" s="84" t="s">
        <v>143</v>
      </c>
      <c r="D291" s="14"/>
      <c r="E291" s="83" t="str">
        <f>IFERROR(360/E290,"")</f>
        <v/>
      </c>
      <c r="F291" s="83" t="str">
        <f t="shared" ref="F291:X291" si="168">IFERROR(360/F290,"")</f>
        <v/>
      </c>
      <c r="G291" s="83" t="str">
        <f t="shared" si="168"/>
        <v/>
      </c>
      <c r="H291" s="83" t="str">
        <f t="shared" si="168"/>
        <v/>
      </c>
      <c r="I291" s="83" t="str">
        <f t="shared" si="168"/>
        <v/>
      </c>
      <c r="J291" s="83" t="str">
        <f t="shared" si="168"/>
        <v/>
      </c>
      <c r="K291" s="83" t="str">
        <f t="shared" si="168"/>
        <v/>
      </c>
      <c r="L291" s="83" t="str">
        <f t="shared" si="168"/>
        <v/>
      </c>
      <c r="M291" s="83" t="str">
        <f t="shared" si="168"/>
        <v/>
      </c>
      <c r="N291" s="83" t="str">
        <f t="shared" si="168"/>
        <v/>
      </c>
      <c r="O291" s="83" t="str">
        <f t="shared" si="168"/>
        <v/>
      </c>
      <c r="P291" s="83" t="str">
        <f t="shared" si="168"/>
        <v/>
      </c>
      <c r="Q291" s="83" t="str">
        <f t="shared" si="168"/>
        <v/>
      </c>
      <c r="R291" s="83" t="str">
        <f t="shared" si="168"/>
        <v/>
      </c>
      <c r="S291" s="83" t="str">
        <f t="shared" si="168"/>
        <v/>
      </c>
      <c r="T291" s="83" t="str">
        <f t="shared" si="168"/>
        <v/>
      </c>
      <c r="U291" s="83" t="str">
        <f t="shared" si="168"/>
        <v/>
      </c>
      <c r="V291" s="83" t="str">
        <f t="shared" si="168"/>
        <v/>
      </c>
      <c r="W291" s="83" t="str">
        <f t="shared" si="168"/>
        <v/>
      </c>
      <c r="X291" s="83" t="str">
        <f t="shared" si="168"/>
        <v/>
      </c>
    </row>
    <row r="293" spans="2:24" ht="15.75" thickBot="1" x14ac:dyDescent="0.3">
      <c r="B293" s="75" t="s">
        <v>144</v>
      </c>
    </row>
    <row r="294" spans="2:24" x14ac:dyDescent="0.2">
      <c r="B294" s="78" t="s">
        <v>145</v>
      </c>
      <c r="D294" s="14"/>
      <c r="E294" s="85">
        <f>IFERROR(E255/E227,"")</f>
        <v>0.52704017564241579</v>
      </c>
      <c r="F294" s="85">
        <f t="shared" ref="F294:X294" si="169">IFERROR(F255/F227,"")</f>
        <v>0.38740563780719067</v>
      </c>
      <c r="G294" s="85">
        <f t="shared" si="169"/>
        <v>0.3131166730601106</v>
      </c>
      <c r="H294" s="85">
        <f t="shared" si="169"/>
        <v>0.26554073604708628</v>
      </c>
      <c r="I294" s="85">
        <f t="shared" si="169"/>
        <v>3.9320847853924194E-2</v>
      </c>
      <c r="J294" s="85">
        <f t="shared" si="169"/>
        <v>3.3231667726159368E-2</v>
      </c>
      <c r="K294" s="85">
        <f t="shared" si="169"/>
        <v>2.6367757962922643E-2</v>
      </c>
      <c r="L294" s="85">
        <f t="shared" si="169"/>
        <v>1.8623696207352471E-2</v>
      </c>
      <c r="M294" s="85">
        <f t="shared" si="169"/>
        <v>9.8797629902756083E-3</v>
      </c>
      <c r="N294" s="85">
        <f t="shared" si="169"/>
        <v>-5.1009744383531004E-18</v>
      </c>
      <c r="O294" s="85">
        <f t="shared" si="169"/>
        <v>0</v>
      </c>
      <c r="P294" s="85">
        <f t="shared" si="169"/>
        <v>0</v>
      </c>
      <c r="Q294" s="85">
        <f t="shared" si="169"/>
        <v>0</v>
      </c>
      <c r="R294" s="85" t="str">
        <f t="shared" si="169"/>
        <v/>
      </c>
      <c r="S294" s="85" t="str">
        <f t="shared" si="169"/>
        <v/>
      </c>
      <c r="T294" s="85" t="str">
        <f t="shared" si="169"/>
        <v/>
      </c>
      <c r="U294" s="85" t="str">
        <f t="shared" si="169"/>
        <v/>
      </c>
      <c r="V294" s="85" t="str">
        <f t="shared" si="169"/>
        <v/>
      </c>
      <c r="W294" s="85" t="str">
        <f t="shared" si="169"/>
        <v/>
      </c>
      <c r="X294" s="85" t="str">
        <f t="shared" si="169"/>
        <v/>
      </c>
    </row>
    <row r="295" spans="2:24" x14ac:dyDescent="0.2">
      <c r="B295" s="79" t="s">
        <v>146</v>
      </c>
      <c r="D295" s="14"/>
      <c r="E295" s="85">
        <f>IFERROR(E257/E255,"")</f>
        <v>0.77791413112341645</v>
      </c>
      <c r="F295" s="85">
        <f t="shared" ref="F295:X295" si="170">IFERROR(F257/F255,"")</f>
        <v>0.80932871627281133</v>
      </c>
      <c r="G295" s="85">
        <f t="shared" si="170"/>
        <v>0.84394902959383356</v>
      </c>
      <c r="H295" s="85">
        <f t="shared" si="170"/>
        <v>0.87456543097167616</v>
      </c>
      <c r="I295" s="85">
        <f t="shared" si="170"/>
        <v>0</v>
      </c>
      <c r="J295" s="85">
        <f t="shared" si="170"/>
        <v>0</v>
      </c>
      <c r="K295" s="85">
        <f t="shared" si="170"/>
        <v>0</v>
      </c>
      <c r="L295" s="85">
        <f t="shared" si="170"/>
        <v>0</v>
      </c>
      <c r="M295" s="85">
        <f t="shared" si="170"/>
        <v>0</v>
      </c>
      <c r="N295" s="85">
        <f t="shared" si="170"/>
        <v>0</v>
      </c>
      <c r="O295" s="85" t="str">
        <f t="shared" si="170"/>
        <v/>
      </c>
      <c r="P295" s="85" t="str">
        <f t="shared" si="170"/>
        <v/>
      </c>
      <c r="Q295" s="85" t="str">
        <f t="shared" si="170"/>
        <v/>
      </c>
      <c r="R295" s="85" t="str">
        <f t="shared" si="170"/>
        <v/>
      </c>
      <c r="S295" s="85" t="str">
        <f t="shared" si="170"/>
        <v/>
      </c>
      <c r="T295" s="85" t="str">
        <f t="shared" si="170"/>
        <v/>
      </c>
      <c r="U295" s="85" t="str">
        <f t="shared" si="170"/>
        <v/>
      </c>
      <c r="V295" s="85" t="str">
        <f t="shared" si="170"/>
        <v/>
      </c>
      <c r="W295" s="85" t="str">
        <f t="shared" si="170"/>
        <v/>
      </c>
      <c r="X295" s="85" t="str">
        <f t="shared" si="170"/>
        <v/>
      </c>
    </row>
    <row r="296" spans="2:24" x14ac:dyDescent="0.2">
      <c r="B296" s="79" t="s">
        <v>147</v>
      </c>
      <c r="D296" s="14"/>
      <c r="E296" s="85">
        <f>IFERROR(E264/E255,"")</f>
        <v>0.22208586887658355</v>
      </c>
      <c r="F296" s="85">
        <f t="shared" ref="F296:X296" si="171">IFERROR(F264/F255,"")</f>
        <v>0.19067128372718867</v>
      </c>
      <c r="G296" s="85">
        <f t="shared" si="171"/>
        <v>0.15605097040616631</v>
      </c>
      <c r="H296" s="85">
        <f t="shared" si="171"/>
        <v>0.12543456902832384</v>
      </c>
      <c r="I296" s="85">
        <f t="shared" si="171"/>
        <v>1</v>
      </c>
      <c r="J296" s="85">
        <f t="shared" si="171"/>
        <v>1</v>
      </c>
      <c r="K296" s="85">
        <f t="shared" si="171"/>
        <v>1</v>
      </c>
      <c r="L296" s="85">
        <f t="shared" si="171"/>
        <v>1</v>
      </c>
      <c r="M296" s="85">
        <f t="shared" si="171"/>
        <v>1</v>
      </c>
      <c r="N296" s="85">
        <f t="shared" si="171"/>
        <v>1</v>
      </c>
      <c r="O296" s="85" t="str">
        <f t="shared" si="171"/>
        <v/>
      </c>
      <c r="P296" s="85" t="str">
        <f t="shared" si="171"/>
        <v/>
      </c>
      <c r="Q296" s="85" t="str">
        <f t="shared" si="171"/>
        <v/>
      </c>
      <c r="R296" s="85" t="str">
        <f t="shared" si="171"/>
        <v/>
      </c>
      <c r="S296" s="85" t="str">
        <f t="shared" si="171"/>
        <v/>
      </c>
      <c r="T296" s="85" t="str">
        <f t="shared" si="171"/>
        <v/>
      </c>
      <c r="U296" s="85" t="str">
        <f t="shared" si="171"/>
        <v/>
      </c>
      <c r="V296" s="85" t="str">
        <f t="shared" si="171"/>
        <v/>
      </c>
      <c r="W296" s="85" t="str">
        <f t="shared" si="171"/>
        <v/>
      </c>
      <c r="X296" s="85" t="str">
        <f t="shared" si="171"/>
        <v/>
      </c>
    </row>
    <row r="297" spans="2:24" x14ac:dyDescent="0.2">
      <c r="B297" s="84" t="s">
        <v>148</v>
      </c>
      <c r="D297" s="14"/>
      <c r="E297" s="80">
        <f>IFERROR(E255/E269,"")</f>
        <v>1.0828651786610892</v>
      </c>
      <c r="F297" s="80">
        <f t="shared" ref="F297:X297" si="172">IFERROR(F255/F269,"")</f>
        <v>0.63296076885570796</v>
      </c>
      <c r="G297" s="80">
        <f t="shared" si="172"/>
        <v>0.46147869326483648</v>
      </c>
      <c r="H297" s="80">
        <f t="shared" si="172"/>
        <v>0.36813336213845715</v>
      </c>
      <c r="I297" s="80">
        <f t="shared" si="172"/>
        <v>4.2159489902857263E-2</v>
      </c>
      <c r="J297" s="80">
        <f t="shared" si="172"/>
        <v>3.5847492832838827E-2</v>
      </c>
      <c r="K297" s="80">
        <f t="shared" si="172"/>
        <v>2.8641595219225682E-2</v>
      </c>
      <c r="L297" s="80">
        <f t="shared" si="172"/>
        <v>2.0391465199595882E-2</v>
      </c>
      <c r="M297" s="80">
        <f t="shared" si="172"/>
        <v>1.0916834234024737E-2</v>
      </c>
      <c r="N297" s="80">
        <f t="shared" si="172"/>
        <v>-5.6958661735043512E-18</v>
      </c>
      <c r="O297" s="80">
        <f t="shared" si="172"/>
        <v>0</v>
      </c>
      <c r="P297" s="80">
        <f t="shared" si="172"/>
        <v>0</v>
      </c>
      <c r="Q297" s="80">
        <f t="shared" si="172"/>
        <v>0</v>
      </c>
      <c r="R297" s="80" t="str">
        <f t="shared" si="172"/>
        <v/>
      </c>
      <c r="S297" s="80" t="str">
        <f t="shared" si="172"/>
        <v/>
      </c>
      <c r="T297" s="80" t="str">
        <f t="shared" si="172"/>
        <v/>
      </c>
      <c r="U297" s="80" t="str">
        <f t="shared" si="172"/>
        <v/>
      </c>
      <c r="V297" s="80" t="str">
        <f t="shared" si="172"/>
        <v/>
      </c>
      <c r="W297" s="80" t="str">
        <f t="shared" si="172"/>
        <v/>
      </c>
      <c r="X297" s="80" t="str">
        <f t="shared" si="172"/>
        <v/>
      </c>
    </row>
    <row r="299" spans="2:24" ht="15.75" thickBot="1" x14ac:dyDescent="0.3">
      <c r="B299" s="75" t="s">
        <v>149</v>
      </c>
    </row>
    <row r="300" spans="2:24" x14ac:dyDescent="0.2">
      <c r="B300" s="78" t="s">
        <v>150</v>
      </c>
      <c r="D300" s="14"/>
      <c r="E300" s="86">
        <f>IFERROR(E144/E$140,"")</f>
        <v>0.90629346092503982</v>
      </c>
      <c r="F300" s="86">
        <f t="shared" ref="F300:X300" si="173">IFERROR(F144/F$140,"")</f>
        <v>0.90706096210222531</v>
      </c>
      <c r="G300" s="86">
        <f t="shared" si="173"/>
        <v>0.9078221770792928</v>
      </c>
      <c r="H300" s="86">
        <f t="shared" si="173"/>
        <v>0.90857715734321476</v>
      </c>
      <c r="I300" s="86" t="str">
        <f t="shared" si="173"/>
        <v/>
      </c>
      <c r="J300" s="86" t="str">
        <f t="shared" si="173"/>
        <v/>
      </c>
      <c r="K300" s="86" t="str">
        <f t="shared" si="173"/>
        <v/>
      </c>
      <c r="L300" s="86" t="str">
        <f t="shared" si="173"/>
        <v/>
      </c>
      <c r="M300" s="86" t="str">
        <f t="shared" si="173"/>
        <v/>
      </c>
      <c r="N300" s="86" t="str">
        <f t="shared" si="173"/>
        <v/>
      </c>
      <c r="O300" s="86" t="str">
        <f t="shared" si="173"/>
        <v/>
      </c>
      <c r="P300" s="86" t="str">
        <f t="shared" si="173"/>
        <v/>
      </c>
      <c r="Q300" s="86" t="str">
        <f t="shared" si="173"/>
        <v/>
      </c>
      <c r="R300" s="86" t="str">
        <f t="shared" si="173"/>
        <v/>
      </c>
      <c r="S300" s="86" t="str">
        <f t="shared" si="173"/>
        <v/>
      </c>
      <c r="T300" s="86" t="str">
        <f t="shared" si="173"/>
        <v/>
      </c>
      <c r="U300" s="86" t="str">
        <f t="shared" si="173"/>
        <v/>
      </c>
      <c r="V300" s="86" t="str">
        <f t="shared" si="173"/>
        <v/>
      </c>
      <c r="W300" s="86" t="str">
        <f t="shared" si="173"/>
        <v/>
      </c>
      <c r="X300" s="86" t="str">
        <f t="shared" si="173"/>
        <v/>
      </c>
    </row>
    <row r="301" spans="2:24" x14ac:dyDescent="0.2">
      <c r="B301" s="78" t="s">
        <v>151</v>
      </c>
      <c r="D301" s="14"/>
      <c r="E301" s="86">
        <f>IFERROR(E150/E$140,"")</f>
        <v>0.38280433811802234</v>
      </c>
      <c r="F301" s="86">
        <f t="shared" ref="F301:X301" si="174">IFERROR(F150/F$140,"")</f>
        <v>0.40425975903571826</v>
      </c>
      <c r="G301" s="86">
        <f t="shared" si="174"/>
        <v>0.43406890162877015</v>
      </c>
      <c r="H301" s="86">
        <f t="shared" si="174"/>
        <v>0.46217448304466369</v>
      </c>
      <c r="I301" s="86" t="str">
        <f t="shared" si="174"/>
        <v/>
      </c>
      <c r="J301" s="86" t="str">
        <f t="shared" si="174"/>
        <v/>
      </c>
      <c r="K301" s="86" t="str">
        <f t="shared" si="174"/>
        <v/>
      </c>
      <c r="L301" s="86" t="str">
        <f t="shared" si="174"/>
        <v/>
      </c>
      <c r="M301" s="86" t="str">
        <f t="shared" si="174"/>
        <v/>
      </c>
      <c r="N301" s="86" t="str">
        <f t="shared" si="174"/>
        <v/>
      </c>
      <c r="O301" s="86" t="str">
        <f t="shared" si="174"/>
        <v/>
      </c>
      <c r="P301" s="86" t="str">
        <f t="shared" si="174"/>
        <v/>
      </c>
      <c r="Q301" s="86" t="str">
        <f t="shared" si="174"/>
        <v/>
      </c>
      <c r="R301" s="86" t="str">
        <f t="shared" si="174"/>
        <v/>
      </c>
      <c r="S301" s="86" t="str">
        <f t="shared" si="174"/>
        <v/>
      </c>
      <c r="T301" s="86" t="str">
        <f t="shared" si="174"/>
        <v/>
      </c>
      <c r="U301" s="86" t="str">
        <f t="shared" si="174"/>
        <v/>
      </c>
      <c r="V301" s="86" t="str">
        <f t="shared" si="174"/>
        <v/>
      </c>
      <c r="W301" s="86" t="str">
        <f t="shared" si="174"/>
        <v/>
      </c>
      <c r="X301" s="86" t="str">
        <f t="shared" si="174"/>
        <v/>
      </c>
    </row>
    <row r="302" spans="2:24" x14ac:dyDescent="0.2">
      <c r="B302" s="78" t="s">
        <v>152</v>
      </c>
      <c r="D302" s="14"/>
      <c r="E302" s="86">
        <f>IFERROR(E152/E$140,"")</f>
        <v>0.39903400318979265</v>
      </c>
      <c r="F302" s="86">
        <f t="shared" ref="F302:X302" si="175">IFERROR(F152/F$140,"")</f>
        <v>0.41926638415987016</v>
      </c>
      <c r="G302" s="86">
        <f t="shared" si="175"/>
        <v>0.44768035298854514</v>
      </c>
      <c r="H302" s="86">
        <f t="shared" si="175"/>
        <v>0.47452047067257752</v>
      </c>
      <c r="I302" s="86" t="str">
        <f t="shared" si="175"/>
        <v/>
      </c>
      <c r="J302" s="86" t="str">
        <f t="shared" si="175"/>
        <v/>
      </c>
      <c r="K302" s="86" t="str">
        <f t="shared" si="175"/>
        <v/>
      </c>
      <c r="L302" s="86" t="str">
        <f t="shared" si="175"/>
        <v/>
      </c>
      <c r="M302" s="86" t="str">
        <f t="shared" si="175"/>
        <v/>
      </c>
      <c r="N302" s="86" t="str">
        <f t="shared" si="175"/>
        <v/>
      </c>
      <c r="O302" s="86" t="str">
        <f t="shared" si="175"/>
        <v/>
      </c>
      <c r="P302" s="86" t="str">
        <f t="shared" si="175"/>
        <v/>
      </c>
      <c r="Q302" s="86" t="str">
        <f t="shared" si="175"/>
        <v/>
      </c>
      <c r="R302" s="86" t="str">
        <f t="shared" si="175"/>
        <v/>
      </c>
      <c r="S302" s="86" t="str">
        <f t="shared" si="175"/>
        <v/>
      </c>
      <c r="T302" s="86" t="str">
        <f t="shared" si="175"/>
        <v/>
      </c>
      <c r="U302" s="86" t="str">
        <f t="shared" si="175"/>
        <v/>
      </c>
      <c r="V302" s="86" t="str">
        <f t="shared" si="175"/>
        <v/>
      </c>
      <c r="W302" s="86" t="str">
        <f t="shared" si="175"/>
        <v/>
      </c>
      <c r="X302" s="86" t="str">
        <f t="shared" si="175"/>
        <v/>
      </c>
    </row>
    <row r="303" spans="2:24" x14ac:dyDescent="0.2">
      <c r="B303" s="78" t="s">
        <v>153</v>
      </c>
      <c r="D303" s="14"/>
      <c r="E303" s="86">
        <f>IFERROR(E164/E$140,"")</f>
        <v>0.26006708604374562</v>
      </c>
      <c r="F303" s="86">
        <f t="shared" ref="F303:X303" si="176">IFERROR(F164/F$140,"")</f>
        <v>0.27328302856399977</v>
      </c>
      <c r="G303" s="86">
        <f t="shared" si="176"/>
        <v>0.29195651332050165</v>
      </c>
      <c r="H303" s="86">
        <f t="shared" si="176"/>
        <v>0.3095851018641243</v>
      </c>
      <c r="I303" s="86" t="str">
        <f t="shared" si="176"/>
        <v/>
      </c>
      <c r="J303" s="86" t="str">
        <f t="shared" si="176"/>
        <v/>
      </c>
      <c r="K303" s="86" t="str">
        <f t="shared" si="176"/>
        <v/>
      </c>
      <c r="L303" s="86" t="str">
        <f t="shared" si="176"/>
        <v/>
      </c>
      <c r="M303" s="86" t="str">
        <f t="shared" si="176"/>
        <v/>
      </c>
      <c r="N303" s="86" t="str">
        <f t="shared" si="176"/>
        <v/>
      </c>
      <c r="O303" s="86" t="str">
        <f t="shared" si="176"/>
        <v/>
      </c>
      <c r="P303" s="86" t="str">
        <f t="shared" si="176"/>
        <v/>
      </c>
      <c r="Q303" s="86" t="str">
        <f t="shared" si="176"/>
        <v/>
      </c>
      <c r="R303" s="86" t="str">
        <f t="shared" si="176"/>
        <v/>
      </c>
      <c r="S303" s="86" t="str">
        <f t="shared" si="176"/>
        <v/>
      </c>
      <c r="T303" s="86" t="str">
        <f t="shared" si="176"/>
        <v/>
      </c>
      <c r="U303" s="86" t="str">
        <f t="shared" si="176"/>
        <v/>
      </c>
      <c r="V303" s="86" t="str">
        <f t="shared" si="176"/>
        <v/>
      </c>
      <c r="W303" s="86" t="str">
        <f t="shared" si="176"/>
        <v/>
      </c>
      <c r="X303" s="86" t="str">
        <f t="shared" si="176"/>
        <v/>
      </c>
    </row>
    <row r="304" spans="2:24" x14ac:dyDescent="0.2">
      <c r="B304" s="79" t="s">
        <v>103</v>
      </c>
      <c r="D304" s="14"/>
      <c r="E304" s="86">
        <f>IFERROR(E191/E227,"")</f>
        <v>0.35177058704650604</v>
      </c>
      <c r="F304" s="86">
        <f t="shared" ref="F304:X304" si="177">IFERROR(F191/F227,"")</f>
        <v>0.27107410524813524</v>
      </c>
      <c r="G304" s="86">
        <f t="shared" si="177"/>
        <v>0.23023920366992884</v>
      </c>
      <c r="H304" s="86">
        <f t="shared" si="177"/>
        <v>0.2036148247909727</v>
      </c>
      <c r="I304" s="86">
        <f t="shared" si="177"/>
        <v>-9.5773669299412129E-3</v>
      </c>
      <c r="J304" s="86">
        <f t="shared" si="177"/>
        <v>-6.5202973824657505E-3</v>
      </c>
      <c r="K304" s="86">
        <f t="shared" si="177"/>
        <v>-6.4929454202934484E-3</v>
      </c>
      <c r="L304" s="86">
        <f t="shared" si="177"/>
        <v>-6.4658219767223411E-3</v>
      </c>
      <c r="M304" s="86">
        <f t="shared" si="177"/>
        <v>-6.4389241998447965E-3</v>
      </c>
      <c r="N304" s="86">
        <f t="shared" si="177"/>
        <v>-6.4122492850122535E-3</v>
      </c>
      <c r="O304" s="86">
        <f t="shared" si="177"/>
        <v>0</v>
      </c>
      <c r="P304" s="86">
        <f t="shared" si="177"/>
        <v>0</v>
      </c>
      <c r="Q304" s="86">
        <f t="shared" si="177"/>
        <v>0</v>
      </c>
      <c r="R304" s="86" t="str">
        <f t="shared" si="177"/>
        <v/>
      </c>
      <c r="S304" s="86" t="str">
        <f t="shared" si="177"/>
        <v/>
      </c>
      <c r="T304" s="86" t="str">
        <f t="shared" si="177"/>
        <v/>
      </c>
      <c r="U304" s="86" t="str">
        <f t="shared" si="177"/>
        <v/>
      </c>
      <c r="V304" s="86" t="str">
        <f t="shared" si="177"/>
        <v/>
      </c>
      <c r="W304" s="86" t="str">
        <f t="shared" si="177"/>
        <v/>
      </c>
      <c r="X304" s="86" t="str">
        <f t="shared" si="177"/>
        <v/>
      </c>
    </row>
    <row r="305" spans="2:24" x14ac:dyDescent="0.2">
      <c r="B305" s="79" t="s">
        <v>154</v>
      </c>
      <c r="D305" s="14"/>
      <c r="E305" s="86">
        <f>IFERROR(E164/E$227,"")</f>
        <v>0.36765586983603499</v>
      </c>
      <c r="F305" s="86">
        <f t="shared" ref="F305:X305" si="178">IFERROR(F164/F$227,"")</f>
        <v>0.28116224859430244</v>
      </c>
      <c r="G305" s="86">
        <f t="shared" si="178"/>
        <v>0.23696736164396984</v>
      </c>
      <c r="H305" s="86">
        <f t="shared" si="178"/>
        <v>0.20825219273454759</v>
      </c>
      <c r="I305" s="86">
        <f t="shared" si="178"/>
        <v>-4.0171670387839954E-3</v>
      </c>
      <c r="J305" s="86">
        <f t="shared" si="178"/>
        <v>-1.710972292144309E-3</v>
      </c>
      <c r="K305" s="86">
        <f t="shared" si="178"/>
        <v>-2.5296115198975796E-3</v>
      </c>
      <c r="L305" s="86">
        <f t="shared" si="178"/>
        <v>-3.4565425844860593E-3</v>
      </c>
      <c r="M305" s="86">
        <f t="shared" si="178"/>
        <v>-4.5064653434788741E-3</v>
      </c>
      <c r="N305" s="86">
        <f t="shared" si="178"/>
        <v>-5.6960739402440201E-3</v>
      </c>
      <c r="O305" s="86">
        <f t="shared" si="178"/>
        <v>0</v>
      </c>
      <c r="P305" s="86">
        <f t="shared" si="178"/>
        <v>0</v>
      </c>
      <c r="Q305" s="86">
        <f t="shared" si="178"/>
        <v>0</v>
      </c>
      <c r="R305" s="86" t="str">
        <f t="shared" si="178"/>
        <v/>
      </c>
      <c r="S305" s="86" t="str">
        <f t="shared" si="178"/>
        <v/>
      </c>
      <c r="T305" s="86" t="str">
        <f t="shared" si="178"/>
        <v/>
      </c>
      <c r="U305" s="86" t="str">
        <f t="shared" si="178"/>
        <v/>
      </c>
      <c r="V305" s="86" t="str">
        <f t="shared" si="178"/>
        <v/>
      </c>
      <c r="W305" s="86" t="str">
        <f t="shared" si="178"/>
        <v/>
      </c>
      <c r="X305" s="86" t="str">
        <f t="shared" si="178"/>
        <v/>
      </c>
    </row>
    <row r="306" spans="2:24" x14ac:dyDescent="0.2">
      <c r="B306" s="79" t="s">
        <v>155</v>
      </c>
      <c r="D306" s="14"/>
      <c r="E306" s="86">
        <f>IFERROR(E164/E$269,"")</f>
        <v>0.75539163345663485</v>
      </c>
      <c r="F306" s="86">
        <f t="shared" ref="F306:X306" si="179">IFERROR(F164/F$269,"")</f>
        <v>0.45937553735865161</v>
      </c>
      <c r="G306" s="86">
        <f t="shared" si="179"/>
        <v>0.349248052903531</v>
      </c>
      <c r="H306" s="86">
        <f t="shared" si="179"/>
        <v>0.28871118241715138</v>
      </c>
      <c r="I306" s="86">
        <f t="shared" si="179"/>
        <v>-4.3071734831069443E-3</v>
      </c>
      <c r="J306" s="86">
        <f t="shared" si="179"/>
        <v>-1.845651186851145E-3</v>
      </c>
      <c r="K306" s="86">
        <f t="shared" si="179"/>
        <v>-2.7477538786830564E-3</v>
      </c>
      <c r="L306" s="86">
        <f t="shared" si="179"/>
        <v>-3.7846390446726812E-3</v>
      </c>
      <c r="M306" s="86">
        <f t="shared" si="179"/>
        <v>-4.9795055999378611E-3</v>
      </c>
      <c r="N306" s="86">
        <f t="shared" si="179"/>
        <v>-6.3603680571452633E-3</v>
      </c>
      <c r="O306" s="86">
        <f t="shared" si="179"/>
        <v>0</v>
      </c>
      <c r="P306" s="86">
        <f t="shared" si="179"/>
        <v>0</v>
      </c>
      <c r="Q306" s="86">
        <f t="shared" si="179"/>
        <v>0</v>
      </c>
      <c r="R306" s="86" t="str">
        <f t="shared" si="179"/>
        <v/>
      </c>
      <c r="S306" s="86" t="str">
        <f t="shared" si="179"/>
        <v/>
      </c>
      <c r="T306" s="86" t="str">
        <f t="shared" si="179"/>
        <v/>
      </c>
      <c r="U306" s="86" t="str">
        <f t="shared" si="179"/>
        <v/>
      </c>
      <c r="V306" s="86" t="str">
        <f t="shared" si="179"/>
        <v/>
      </c>
      <c r="W306" s="86" t="str">
        <f t="shared" si="179"/>
        <v/>
      </c>
      <c r="X306" s="86" t="str">
        <f t="shared" si="179"/>
        <v/>
      </c>
    </row>
    <row r="307" spans="2:24" x14ac:dyDescent="0.2">
      <c r="B307" s="87"/>
    </row>
    <row r="309" spans="2:24" ht="15" x14ac:dyDescent="0.25">
      <c r="B309" s="88" t="s">
        <v>156</v>
      </c>
      <c r="E309" s="89">
        <f>IFERROR(E266/E152,"")</f>
        <v>0.20749069731105291</v>
      </c>
      <c r="F309" s="89">
        <f t="shared" ref="F309:X309" si="180">IFERROR(F266/F152,"")</f>
        <v>0.17124458135523571</v>
      </c>
      <c r="G309" s="89">
        <f t="shared" si="180"/>
        <v>0.13447274416370758</v>
      </c>
      <c r="H309" s="89">
        <f t="shared" si="180"/>
        <v>0.10434794829777463</v>
      </c>
      <c r="I309" s="89" t="str">
        <f t="shared" si="180"/>
        <v/>
      </c>
      <c r="J309" s="89" t="str">
        <f t="shared" si="180"/>
        <v/>
      </c>
      <c r="K309" s="89" t="str">
        <f t="shared" si="180"/>
        <v/>
      </c>
      <c r="L309" s="89" t="str">
        <f t="shared" si="180"/>
        <v/>
      </c>
      <c r="M309" s="89" t="str">
        <f t="shared" si="180"/>
        <v/>
      </c>
      <c r="N309" s="89" t="str">
        <f t="shared" si="180"/>
        <v/>
      </c>
      <c r="O309" s="89" t="str">
        <f t="shared" si="180"/>
        <v/>
      </c>
      <c r="P309" s="89" t="str">
        <f t="shared" si="180"/>
        <v/>
      </c>
      <c r="Q309" s="89" t="str">
        <f t="shared" si="180"/>
        <v/>
      </c>
      <c r="R309" s="89" t="str">
        <f t="shared" si="180"/>
        <v/>
      </c>
      <c r="S309" s="89" t="str">
        <f t="shared" si="180"/>
        <v/>
      </c>
      <c r="T309" s="89" t="str">
        <f t="shared" si="180"/>
        <v/>
      </c>
      <c r="U309" s="89" t="str">
        <f t="shared" si="180"/>
        <v/>
      </c>
      <c r="V309" s="89" t="str">
        <f t="shared" si="180"/>
        <v/>
      </c>
      <c r="W309" s="89" t="str">
        <f t="shared" si="180"/>
        <v/>
      </c>
      <c r="X309" s="89" t="str">
        <f t="shared" si="180"/>
        <v/>
      </c>
    </row>
    <row r="312" spans="2:24" ht="15.75" thickBot="1" x14ac:dyDescent="0.3">
      <c r="B312" s="75" t="s">
        <v>157</v>
      </c>
    </row>
    <row r="313" spans="2:24" x14ac:dyDescent="0.2">
      <c r="B313" s="79" t="s">
        <v>158</v>
      </c>
      <c r="E313" s="80">
        <f t="shared" ref="E313:X313" si="181">IFERROR(E285/E140,"")</f>
        <v>9.9999999999999981E-57</v>
      </c>
      <c r="F313" s="80">
        <f t="shared" si="181"/>
        <v>0</v>
      </c>
      <c r="G313" s="80">
        <f t="shared" si="181"/>
        <v>0</v>
      </c>
      <c r="H313" s="80">
        <f t="shared" si="181"/>
        <v>0</v>
      </c>
      <c r="I313" s="80" t="str">
        <f t="shared" si="181"/>
        <v/>
      </c>
      <c r="J313" s="80" t="str">
        <f t="shared" si="181"/>
        <v/>
      </c>
      <c r="K313" s="80" t="str">
        <f t="shared" si="181"/>
        <v/>
      </c>
      <c r="L313" s="80" t="str">
        <f t="shared" si="181"/>
        <v/>
      </c>
      <c r="M313" s="80" t="str">
        <f t="shared" si="181"/>
        <v/>
      </c>
      <c r="N313" s="80" t="str">
        <f t="shared" si="181"/>
        <v/>
      </c>
      <c r="O313" s="80" t="str">
        <f t="shared" si="181"/>
        <v/>
      </c>
      <c r="P313" s="80" t="str">
        <f t="shared" si="181"/>
        <v/>
      </c>
      <c r="Q313" s="80" t="str">
        <f t="shared" si="181"/>
        <v/>
      </c>
      <c r="R313" s="80" t="str">
        <f t="shared" si="181"/>
        <v/>
      </c>
      <c r="S313" s="80" t="str">
        <f t="shared" si="181"/>
        <v/>
      </c>
      <c r="T313" s="80" t="str">
        <f t="shared" si="181"/>
        <v/>
      </c>
      <c r="U313" s="80" t="str">
        <f t="shared" si="181"/>
        <v/>
      </c>
      <c r="V313" s="80" t="str">
        <f t="shared" si="181"/>
        <v/>
      </c>
      <c r="W313" s="80" t="str">
        <f t="shared" si="181"/>
        <v/>
      </c>
      <c r="X313" s="80" t="str">
        <f t="shared" si="181"/>
        <v/>
      </c>
    </row>
    <row r="314" spans="2:24" x14ac:dyDescent="0.2">
      <c r="B314" s="79" t="s">
        <v>159</v>
      </c>
      <c r="E314" s="80">
        <f>IFERROR(E302/E313,"")</f>
        <v>3.9903400318979275E+55</v>
      </c>
      <c r="F314" s="80" t="str">
        <f t="shared" ref="F314:X314" si="182">IFERROR(F302/F313,"")</f>
        <v/>
      </c>
      <c r="G314" s="80" t="str">
        <f t="shared" si="182"/>
        <v/>
      </c>
      <c r="H314" s="80" t="str">
        <f t="shared" si="182"/>
        <v/>
      </c>
      <c r="I314" s="80" t="str">
        <f t="shared" si="182"/>
        <v/>
      </c>
      <c r="J314" s="80" t="str">
        <f t="shared" si="182"/>
        <v/>
      </c>
      <c r="K314" s="80" t="str">
        <f t="shared" si="182"/>
        <v/>
      </c>
      <c r="L314" s="80" t="str">
        <f t="shared" si="182"/>
        <v/>
      </c>
      <c r="M314" s="80" t="str">
        <f t="shared" si="182"/>
        <v/>
      </c>
      <c r="N314" s="80" t="str">
        <f t="shared" si="182"/>
        <v/>
      </c>
      <c r="O314" s="80" t="str">
        <f t="shared" si="182"/>
        <v/>
      </c>
      <c r="P314" s="80" t="str">
        <f t="shared" si="182"/>
        <v/>
      </c>
      <c r="Q314" s="80" t="str">
        <f t="shared" si="182"/>
        <v/>
      </c>
      <c r="R314" s="80" t="str">
        <f t="shared" si="182"/>
        <v/>
      </c>
      <c r="S314" s="80" t="str">
        <f t="shared" si="182"/>
        <v/>
      </c>
      <c r="T314" s="80" t="str">
        <f t="shared" si="182"/>
        <v/>
      </c>
      <c r="U314" s="80" t="str">
        <f t="shared" si="182"/>
        <v/>
      </c>
      <c r="V314" s="80" t="str">
        <f t="shared" si="182"/>
        <v/>
      </c>
      <c r="W314" s="80" t="str">
        <f t="shared" si="182"/>
        <v/>
      </c>
      <c r="X314" s="80" t="str">
        <f t="shared" si="182"/>
        <v/>
      </c>
    </row>
    <row r="315" spans="2:24" x14ac:dyDescent="0.2">
      <c r="B315" s="79" t="s">
        <v>160</v>
      </c>
      <c r="E315" s="80">
        <f>IFERROR(E140/E227,"")</f>
        <v>1.4136962713312824</v>
      </c>
      <c r="F315" s="80">
        <f t="shared" ref="F315:X315" si="183">IFERROR(F140/F227,"")</f>
        <v>1.0288317209879627</v>
      </c>
      <c r="G315" s="80">
        <f t="shared" si="183"/>
        <v>0.81165293744905687</v>
      </c>
      <c r="H315" s="80">
        <f t="shared" si="183"/>
        <v>0.67268157117569782</v>
      </c>
      <c r="I315" s="80">
        <f t="shared" si="183"/>
        <v>0</v>
      </c>
      <c r="J315" s="80">
        <f t="shared" si="183"/>
        <v>0</v>
      </c>
      <c r="K315" s="80">
        <f t="shared" si="183"/>
        <v>0</v>
      </c>
      <c r="L315" s="80">
        <f t="shared" si="183"/>
        <v>0</v>
      </c>
      <c r="M315" s="80">
        <f t="shared" si="183"/>
        <v>0</v>
      </c>
      <c r="N315" s="80">
        <f t="shared" si="183"/>
        <v>0</v>
      </c>
      <c r="O315" s="80">
        <f t="shared" si="183"/>
        <v>0</v>
      </c>
      <c r="P315" s="80">
        <f t="shared" si="183"/>
        <v>0</v>
      </c>
      <c r="Q315" s="80">
        <f t="shared" si="183"/>
        <v>0</v>
      </c>
      <c r="R315" s="80" t="str">
        <f t="shared" si="183"/>
        <v/>
      </c>
      <c r="S315" s="80" t="str">
        <f t="shared" si="183"/>
        <v/>
      </c>
      <c r="T315" s="80" t="str">
        <f t="shared" si="183"/>
        <v/>
      </c>
      <c r="U315" s="80" t="str">
        <f t="shared" si="183"/>
        <v/>
      </c>
      <c r="V315" s="80" t="str">
        <f t="shared" si="183"/>
        <v/>
      </c>
      <c r="W315" s="80" t="str">
        <f t="shared" si="183"/>
        <v/>
      </c>
      <c r="X315" s="80" t="str">
        <f t="shared" si="183"/>
        <v/>
      </c>
    </row>
    <row r="317" spans="2:24" x14ac:dyDescent="0.2">
      <c r="D317" s="90"/>
    </row>
    <row r="318" spans="2:24" x14ac:dyDescent="0.2">
      <c r="D318" s="90"/>
    </row>
    <row r="319" spans="2:24" x14ac:dyDescent="0.2">
      <c r="D319" s="90"/>
    </row>
    <row r="320" spans="2:24" x14ac:dyDescent="0.2">
      <c r="D320" s="90"/>
    </row>
    <row r="321" spans="4:4" x14ac:dyDescent="0.2">
      <c r="D321" s="90"/>
    </row>
  </sheetData>
  <mergeCells count="2">
    <mergeCell ref="C70:D70"/>
    <mergeCell ref="C91:D91"/>
  </mergeCells>
  <conditionalFormatting sqref="E8:O8">
    <cfRule type="expression" dxfId="0" priority="1">
      <formula>D$2=1</formula>
    </cfRule>
  </conditionalFormatting>
  <dataValidations count="21">
    <dataValidation allowBlank="1" showInputMessage="1" showErrorMessage="1" prompt="Pasivo / Capital_x000a__x000a_Mide el grado de apalancamiento financiero empleado por la empresa. _x000a_" sqref="B297"/>
    <dataValidation allowBlank="1" showInputMessage="1" showErrorMessage="1" promptTitle="Concentración de endeudamientoLP" prompt="Pasivo No Corriente / Total Pasivo" sqref="B296"/>
    <dataValidation allowBlank="1" showInputMessage="1" showErrorMessage="1" promptTitle="Concentración de endeudamientoCP" prompt="Pasivo Corriente / Total Pasivo" sqref="B295"/>
    <dataValidation allowBlank="1" showInputMessage="1" showErrorMessage="1" promptTitle="Endeudamiento Total" prompt="Total Pasivos / Total Activos_x000a__x000a_Que proporción de los activos se encuentra financiada con pasivos_x000a_" sqref="B294"/>
    <dataValidation type="list" allowBlank="1" showInputMessage="1" showErrorMessage="1" sqref="C91:D91">
      <formula1>lista_tipo_amortizacion</formula1>
    </dataValidation>
    <dataValidation type="list" allowBlank="1" showInputMessage="1" showErrorMessage="1" sqref="C70">
      <formula1>Lista_tasa_descuento</formula1>
    </dataValidation>
    <dataValidation allowBlank="1" showInputMessage="1" showErrorMessage="1" promptTitle="PAF " prompt="Ingresos / Actrivos Fijos_x000a__x000a_Eficiencia en el aprovechamiento de la capacidad instalada_x000a_Por cada peso invertido en el activo fijo, cuanto genero en ingresos a la compañía_x000a__x000a_" sqref="B315"/>
    <dataValidation allowBlank="1" showInputMessage="1" showErrorMessage="1" promptTitle="Margen Ebitda" prompt="Ebitda / Ingresos" sqref="B302"/>
    <dataValidation allowBlank="1" showInputMessage="1" showErrorMessage="1" promptTitle="PDC" prompt="Margen EBITDA / PKT_x000a__x000a_Indicador que indica, que si es mayor a 1, genera crecimiento. Si es menor, por más margen Ebitda que se genere, no contribuye al crecimiento_x000a__x000a_" sqref="B314"/>
    <dataValidation allowBlank="1" showInputMessage="1" showErrorMessage="1" promptTitle="PKT" prompt="Capital de Trabajo Neto Operativo (KTNO) / Ingreso neto_x000a__x000a_Entre menor sea mejor, pues la empresa debe tener poco dinero invertido en CxC, Inventarios y trabajar con pocas CxP para generar ingresos con poco dinero invertido_x000a__x000a_Indicador de eficiencia_x000a__x000a_" sqref="B313"/>
    <dataValidation allowBlank="1" showInputMessage="1" showErrorMessage="1" promptTitle="Deuda/Ebitda" prompt="Muestra las veces que la empresa puede cubrir su endeudamiento con sus resultados operativos_x000a__x000a_Indicador de cobertura" sqref="B309"/>
    <dataValidation allowBlank="1" showInputMessage="1" showErrorMessage="1" promptTitle="ROE" prompt="Utilidad Neta / Patrimonio_x000a_" sqref="B306"/>
    <dataValidation allowBlank="1" showInputMessage="1" showErrorMessage="1" promptTitle="ROA" prompt="Utilidad Neta / Activos_x000a_" sqref="B305"/>
    <dataValidation allowBlank="1" showInputMessage="1" showErrorMessage="1" promptTitle="ROIC" prompt="NOPAT / Capital Invertido_x000a_" sqref="B304"/>
    <dataValidation allowBlank="1" showInputMessage="1" showErrorMessage="1" promptTitle="Margen Neto" prompt="Utilidad Neta / Ingresos_x000a_" sqref="B303"/>
    <dataValidation allowBlank="1" showInputMessage="1" showErrorMessage="1" promptTitle="Margen Operacional" prompt="Utilidad Operacional / Ingresos" sqref="B301"/>
    <dataValidation allowBlank="1" showInputMessage="1" showErrorMessage="1" promptTitle="Margen Bruto" prompt="Utilidad Bruta / Ingresos_x000a__x000a_Mide la relación entre la UB y las ventas" sqref="B300"/>
    <dataValidation allowBlank="1" showInputMessage="1" showErrorMessage="1" promptTitle="Capital Neto de Trabajo Operativ" prompt="Se consideran los activos que directamente intervienen en la generación de recursos, descontando las CxP. (Inventarios + Cartera - Proveedores)_x000a_" sqref="B285"/>
    <dataValidation allowBlank="1" showInputMessage="1" showErrorMessage="1" promptTitle="Capital Neto de Trabajo" prompt="Diferencia obtenida al comparar el activo corriente con el pasivo en el corto plazo. El resultado señala los recursos con los cuales la empresa atiende su actividad operativa y financiera, sin acudir a recursos externos" sqref="B284"/>
    <dataValidation allowBlank="1" showInputMessage="1" showErrorMessage="1" promptTitle="Prueba ácida" prompt="Capacidad de la empresa para cancelar sus obligaciones corrientes, pero sin tener en cuenta sus existencias. Mide las veces en que los activos corrientes (sin inventarios) pueden cubrir las obligaciones exigibles en el corto plazo" sqref="B287"/>
    <dataValidation allowBlank="1" showInputMessage="1" showErrorMessage="1" promptTitle="Razón Corriente" prompt="Relaciona los activos más liquidos de la empresa con las obligaciones que vencen en el corto plazo. Determina el número de veces en que los activos corrientes pueden respaldar los pasivos exigibles en el corto plazo" sqref="B286"/>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025" r:id="rId3" name="List Box 1">
              <controlPr defaultSize="0" autoLine="0" autoPict="0">
                <anchor moveWithCells="1">
                  <from>
                    <xdr:col>2</xdr:col>
                    <xdr:colOff>38100</xdr:colOff>
                    <xdr:row>14</xdr:row>
                    <xdr:rowOff>57150</xdr:rowOff>
                  </from>
                  <to>
                    <xdr:col>2</xdr:col>
                    <xdr:colOff>723900</xdr:colOff>
                    <xdr:row>22</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showGridLines="0" showRowColHeaders="0" zoomScale="80" zoomScaleNormal="80" workbookViewId="0">
      <selection activeCell="D37" sqref="D37"/>
    </sheetView>
  </sheetViews>
  <sheetFormatPr baseColWidth="10" defaultRowHeight="12.75" x14ac:dyDescent="0.2"/>
  <cols>
    <col min="4" max="4" width="18.85546875" bestFit="1" customWidth="1"/>
  </cols>
  <sheetData>
    <row r="1" spans="1:14" x14ac:dyDescent="0.2">
      <c r="A1">
        <v>1</v>
      </c>
      <c r="N1">
        <v>1</v>
      </c>
    </row>
    <row r="2" spans="1:14" x14ac:dyDescent="0.2">
      <c r="A2">
        <v>2</v>
      </c>
      <c r="D2" t="s">
        <v>28</v>
      </c>
      <c r="E2">
        <v>1</v>
      </c>
      <c r="G2" t="s">
        <v>161</v>
      </c>
      <c r="H2">
        <v>1</v>
      </c>
      <c r="K2" t="s">
        <v>162</v>
      </c>
      <c r="L2">
        <v>12</v>
      </c>
      <c r="N2">
        <v>2</v>
      </c>
    </row>
    <row r="3" spans="1:14" x14ac:dyDescent="0.2">
      <c r="A3">
        <v>3</v>
      </c>
      <c r="D3" t="s">
        <v>27</v>
      </c>
      <c r="E3">
        <v>2</v>
      </c>
      <c r="G3" t="s">
        <v>41</v>
      </c>
      <c r="H3">
        <v>2</v>
      </c>
      <c r="K3" t="s">
        <v>163</v>
      </c>
      <c r="L3">
        <v>4</v>
      </c>
      <c r="N3">
        <v>3</v>
      </c>
    </row>
    <row r="4" spans="1:14" x14ac:dyDescent="0.2">
      <c r="A4">
        <v>4</v>
      </c>
      <c r="K4" t="s">
        <v>164</v>
      </c>
      <c r="L4">
        <v>2</v>
      </c>
      <c r="N4">
        <v>4</v>
      </c>
    </row>
    <row r="5" spans="1:14" x14ac:dyDescent="0.2">
      <c r="A5">
        <v>5</v>
      </c>
      <c r="K5" t="s">
        <v>165</v>
      </c>
      <c r="L5">
        <v>1</v>
      </c>
      <c r="N5">
        <v>5</v>
      </c>
    </row>
    <row r="6" spans="1:14" x14ac:dyDescent="0.2">
      <c r="A6">
        <v>6</v>
      </c>
      <c r="N6">
        <v>6</v>
      </c>
    </row>
    <row r="7" spans="1:14" x14ac:dyDescent="0.2">
      <c r="A7">
        <v>7</v>
      </c>
      <c r="N7">
        <v>7</v>
      </c>
    </row>
    <row r="8" spans="1:14" x14ac:dyDescent="0.2">
      <c r="A8">
        <v>8</v>
      </c>
      <c r="N8">
        <v>8</v>
      </c>
    </row>
    <row r="9" spans="1:14" x14ac:dyDescent="0.2">
      <c r="A9">
        <v>9</v>
      </c>
      <c r="N9">
        <v>9</v>
      </c>
    </row>
    <row r="10" spans="1:14" x14ac:dyDescent="0.2">
      <c r="A10">
        <v>10</v>
      </c>
      <c r="N10">
        <v>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S141"/>
  <sheetViews>
    <sheetView showGridLines="0" showRowColHeaders="0" zoomScale="80" zoomScaleNormal="80" workbookViewId="0">
      <pane ySplit="16" topLeftCell="A17" activePane="bottomLeft" state="frozen"/>
      <selection pane="bottomLeft" activeCell="L1" sqref="L1"/>
    </sheetView>
  </sheetViews>
  <sheetFormatPr baseColWidth="10" defaultRowHeight="12.75" x14ac:dyDescent="0.2"/>
  <cols>
    <col min="1" max="1" width="21.7109375" bestFit="1" customWidth="1"/>
    <col min="2" max="2" width="23.7109375" bestFit="1" customWidth="1"/>
    <col min="3" max="3" width="11.5703125" bestFit="1" customWidth="1"/>
    <col min="4" max="5" width="14.5703125" bestFit="1" customWidth="1"/>
    <col min="6" max="6" width="11" customWidth="1"/>
    <col min="7" max="7" width="11" bestFit="1" customWidth="1"/>
    <col min="8" max="8" width="13.140625" bestFit="1" customWidth="1"/>
    <col min="10" max="10" width="7.42578125" customWidth="1"/>
    <col min="11" max="11" width="21.5703125" customWidth="1"/>
    <col min="12" max="12" width="11" bestFit="1" customWidth="1"/>
    <col min="13" max="21" width="9.42578125" bestFit="1" customWidth="1"/>
  </cols>
  <sheetData>
    <row r="3" spans="1:8" x14ac:dyDescent="0.2">
      <c r="A3" s="54" t="s">
        <v>166</v>
      </c>
      <c r="B3" s="91">
        <f>+Modelo!D266</f>
        <v>27372000</v>
      </c>
    </row>
    <row r="4" spans="1:8" x14ac:dyDescent="0.2">
      <c r="A4" s="54" t="s">
        <v>40</v>
      </c>
      <c r="B4" s="92" t="s">
        <v>162</v>
      </c>
    </row>
    <row r="5" spans="1:8" x14ac:dyDescent="0.2">
      <c r="A5" s="54" t="s">
        <v>167</v>
      </c>
      <c r="B5" s="93">
        <f>+VLOOKUP(B4,matriz_per_amortizacion,2,0)</f>
        <v>12</v>
      </c>
    </row>
    <row r="6" spans="1:8" x14ac:dyDescent="0.2">
      <c r="A6" s="54" t="s">
        <v>168</v>
      </c>
      <c r="B6" s="92">
        <v>10</v>
      </c>
    </row>
    <row r="7" spans="1:8" x14ac:dyDescent="0.2">
      <c r="A7" s="54" t="s">
        <v>169</v>
      </c>
      <c r="B7" s="94">
        <f>+B5*B6</f>
        <v>120</v>
      </c>
    </row>
    <row r="8" spans="1:8" x14ac:dyDescent="0.2">
      <c r="A8" s="54" t="s">
        <v>170</v>
      </c>
      <c r="B8" s="94" t="str">
        <f>+[1]Modelo!C91</f>
        <v>Francés o de Instalamentos</v>
      </c>
      <c r="C8" s="11">
        <f>+VLOOKUP(B8,MATRIZ_LISTA_AMORTIZACION,2,0)</f>
        <v>2</v>
      </c>
    </row>
    <row r="9" spans="1:8" x14ac:dyDescent="0.2">
      <c r="A9" s="54" t="s">
        <v>39</v>
      </c>
      <c r="B9" s="95">
        <f>+[1]Modelo!D89</f>
        <v>0.14000000000000001</v>
      </c>
    </row>
    <row r="10" spans="1:8" x14ac:dyDescent="0.2">
      <c r="A10" s="54" t="s">
        <v>171</v>
      </c>
      <c r="B10" s="95">
        <f>+NOMINAL(B9,B5)</f>
        <v>0.13174622340208142</v>
      </c>
    </row>
    <row r="11" spans="1:8" x14ac:dyDescent="0.2">
      <c r="A11" s="54" t="s">
        <v>172</v>
      </c>
      <c r="B11" s="95">
        <f>+B10/B5</f>
        <v>1.0978851950173452E-2</v>
      </c>
    </row>
    <row r="12" spans="1:8" x14ac:dyDescent="0.2">
      <c r="A12" s="8"/>
      <c r="B12" s="96"/>
    </row>
    <row r="13" spans="1:8" x14ac:dyDescent="0.2">
      <c r="A13" s="50" t="s">
        <v>173</v>
      </c>
      <c r="B13" s="51">
        <f>+PMT(B11,B7,-B3,0,0)</f>
        <v>411517.40922889992</v>
      </c>
    </row>
    <row r="14" spans="1:8" x14ac:dyDescent="0.2">
      <c r="B14" s="19">
        <f>+IF($C$8=2,B13-F17,0)</f>
        <v>0</v>
      </c>
    </row>
    <row r="15" spans="1:8" x14ac:dyDescent="0.2">
      <c r="B15" s="19"/>
    </row>
    <row r="16" spans="1:8" x14ac:dyDescent="0.2">
      <c r="B16" s="97" t="s">
        <v>174</v>
      </c>
      <c r="C16" s="97" t="s">
        <v>175</v>
      </c>
      <c r="D16" s="97" t="s">
        <v>176</v>
      </c>
      <c r="E16" s="97" t="s">
        <v>177</v>
      </c>
      <c r="F16" s="97" t="s">
        <v>178</v>
      </c>
      <c r="G16" s="97" t="s">
        <v>179</v>
      </c>
      <c r="H16" s="97" t="s">
        <v>0</v>
      </c>
    </row>
    <row r="17" spans="2:71" x14ac:dyDescent="0.2">
      <c r="B17">
        <v>1</v>
      </c>
      <c r="C17" s="25">
        <f>+B3</f>
        <v>27372000</v>
      </c>
      <c r="D17" s="25">
        <f>IF($C$8=1,$B$3/$B$7*H17,PPMT($B$11,B17,$B$7,-$B$3,0,0))</f>
        <v>111004.27364875218</v>
      </c>
      <c r="E17" s="25">
        <f>IF($C$8=1,C17*$B$11*H17,IPMT($B$11,B17,$B$7,-$B$3,0,0))</f>
        <v>300513.13558014773</v>
      </c>
      <c r="F17" s="42">
        <f>+E17+D17</f>
        <v>411517.40922889992</v>
      </c>
      <c r="G17" s="25">
        <f>+C17-D17</f>
        <v>27260995.726351246</v>
      </c>
      <c r="H17" s="3">
        <f t="shared" ref="H17:H35" si="0">+IF($B$7&gt;=B17,1,0)</f>
        <v>1</v>
      </c>
      <c r="K17" s="97" t="s">
        <v>180</v>
      </c>
    </row>
    <row r="18" spans="2:71" x14ac:dyDescent="0.2">
      <c r="B18">
        <v>2</v>
      </c>
      <c r="C18" s="25">
        <f>+G17</f>
        <v>27260995.726351246</v>
      </c>
      <c r="D18" s="25">
        <f t="shared" ref="D18:D81" si="1">IF($C$8=1,$B$3/$B$7*H18,PPMT($B$11,B18,$B$7,-$B$3,0,0))</f>
        <v>112222.97313497837</v>
      </c>
      <c r="E18" s="25">
        <f t="shared" ref="E18:E81" si="2">IF($C$8=1,C18*$B$11*H18,IPMT($B$11,B18,$B$7,-$B$3,0,0))</f>
        <v>299294.43609392148</v>
      </c>
      <c r="F18" s="42">
        <f>+E18+D18</f>
        <v>411517.40922889987</v>
      </c>
      <c r="G18" s="25">
        <f>+C18-D18</f>
        <v>27148772.753216267</v>
      </c>
      <c r="H18" s="3">
        <f t="shared" si="0"/>
        <v>1</v>
      </c>
      <c r="K18" s="97" t="s">
        <v>181</v>
      </c>
      <c r="L18" s="2">
        <v>1</v>
      </c>
      <c r="M18" s="2">
        <v>2</v>
      </c>
      <c r="N18" s="2">
        <v>3</v>
      </c>
      <c r="O18" s="2">
        <v>4</v>
      </c>
      <c r="P18" s="2">
        <v>5</v>
      </c>
      <c r="Q18" s="2">
        <v>6</v>
      </c>
      <c r="R18" s="2">
        <v>7</v>
      </c>
      <c r="S18" s="2">
        <v>8</v>
      </c>
      <c r="T18" s="2">
        <v>9</v>
      </c>
      <c r="U18" s="2">
        <v>10</v>
      </c>
    </row>
    <row r="19" spans="2:71" x14ac:dyDescent="0.2">
      <c r="B19">
        <v>3</v>
      </c>
      <c r="C19" s="25">
        <f t="shared" ref="C19:C82" si="3">+G18</f>
        <v>27148772.753216267</v>
      </c>
      <c r="D19" s="25">
        <f t="shared" si="1"/>
        <v>113455.05254243562</v>
      </c>
      <c r="E19" s="25">
        <f t="shared" si="2"/>
        <v>298062.35668646428</v>
      </c>
      <c r="F19" s="42">
        <f t="shared" ref="F19:F82" si="4">+E19+D19</f>
        <v>411517.40922889987</v>
      </c>
      <c r="G19" s="25">
        <f t="shared" ref="G19:G82" si="5">+C19-D19</f>
        <v>27035317.70067383</v>
      </c>
      <c r="H19" s="3">
        <f t="shared" si="0"/>
        <v>1</v>
      </c>
      <c r="K19" t="s">
        <v>162</v>
      </c>
      <c r="L19" s="25">
        <f>+SUM($E$17:$E$28)</f>
        <v>3522705.8707791581</v>
      </c>
      <c r="M19" s="25">
        <f>+SUM($E$29:$E$40)</f>
        <v>3324535.4451836902</v>
      </c>
      <c r="N19" s="25">
        <f>+SUM($E$41:$E$52)</f>
        <v>3098621.1600048575</v>
      </c>
      <c r="O19" s="25">
        <f>+SUM($E$53:$E$64)</f>
        <v>2841078.8749009874</v>
      </c>
      <c r="P19" s="25">
        <f>+SUM($E$65:$E$76)</f>
        <v>2547480.669882576</v>
      </c>
      <c r="Q19" s="25">
        <f>+SUM($E$77:$E$88)</f>
        <v>2212778.7161615877</v>
      </c>
      <c r="R19" s="25">
        <f>+SUM($E$89:$E$100)</f>
        <v>1831218.4889196616</v>
      </c>
      <c r="S19" s="25">
        <f>+SUM($E$101:$E$112)</f>
        <v>1396239.8298638656</v>
      </c>
      <c r="T19" s="25">
        <f>+SUM($E$113:$E$124)</f>
        <v>900364.15854025877</v>
      </c>
      <c r="U19" s="25">
        <f>+SUM($E$125:$E$136)</f>
        <v>335065.89323134779</v>
      </c>
    </row>
    <row r="20" spans="2:71" x14ac:dyDescent="0.2">
      <c r="B20">
        <v>4</v>
      </c>
      <c r="C20" s="25">
        <f t="shared" si="3"/>
        <v>27035317.70067383</v>
      </c>
      <c r="D20" s="25">
        <f t="shared" si="1"/>
        <v>114700.65876729817</v>
      </c>
      <c r="E20" s="25">
        <f t="shared" si="2"/>
        <v>296816.75046160171</v>
      </c>
      <c r="F20" s="42">
        <f t="shared" si="4"/>
        <v>411517.40922889987</v>
      </c>
      <c r="G20" s="25">
        <f t="shared" si="5"/>
        <v>26920617.041906532</v>
      </c>
      <c r="H20" s="3">
        <f t="shared" si="0"/>
        <v>1</v>
      </c>
      <c r="K20" t="s">
        <v>163</v>
      </c>
      <c r="L20" s="25">
        <f>+SUM($E$17:$E$20)</f>
        <v>1194686.6788221351</v>
      </c>
      <c r="M20" s="25">
        <f>+SUM($E$21:$E$24)</f>
        <v>1174535.1710721692</v>
      </c>
      <c r="N20" s="25">
        <f>+SUM($E$25:$E$28)</f>
        <v>1153484.020884854</v>
      </c>
      <c r="O20" s="25">
        <f>+SUM($E$29:$E$32)</f>
        <v>1131493.0646890507</v>
      </c>
      <c r="P20" s="25">
        <f>+SUM($E$33:$E$36)</f>
        <v>1108520.3458540894</v>
      </c>
      <c r="Q20" s="25">
        <f>+SUM($E$37:$E$40)</f>
        <v>1084522.0346405501</v>
      </c>
      <c r="R20" s="25">
        <f>+SUM($E$41:$E$44)</f>
        <v>1059452.3445773348</v>
      </c>
      <c r="S20" s="25">
        <f>+SUM($E$45:$E$48)</f>
        <v>1033263.4451054785</v>
      </c>
      <c r="T20" s="25">
        <f>+SUM($E$49:$E$52)</f>
        <v>1005905.370322044</v>
      </c>
      <c r="U20" s="25">
        <f>+SUM($E$53:$E$56)</f>
        <v>977325.92364997813</v>
      </c>
    </row>
    <row r="21" spans="2:71" x14ac:dyDescent="0.2">
      <c r="B21">
        <v>5</v>
      </c>
      <c r="C21" s="25">
        <f t="shared" si="3"/>
        <v>26920617.041906532</v>
      </c>
      <c r="D21" s="25">
        <f t="shared" si="1"/>
        <v>115959.94031849167</v>
      </c>
      <c r="E21" s="25">
        <f t="shared" si="2"/>
        <v>295557.46891040821</v>
      </c>
      <c r="F21" s="42">
        <f t="shared" si="4"/>
        <v>411517.40922889987</v>
      </c>
      <c r="G21" s="25">
        <f t="shared" si="5"/>
        <v>26804657.101588041</v>
      </c>
      <c r="H21" s="3">
        <f t="shared" si="0"/>
        <v>1</v>
      </c>
      <c r="K21" t="s">
        <v>164</v>
      </c>
      <c r="L21" s="25">
        <f>+SUM($E$17:$E$18)</f>
        <v>599807.57167406916</v>
      </c>
      <c r="M21" s="25">
        <f>+SUM($E$19:$E$20)</f>
        <v>594879.10714806593</v>
      </c>
      <c r="N21" s="25">
        <f>+SUM($E$21:$E$22)</f>
        <v>589841.83080390876</v>
      </c>
      <c r="O21" s="25">
        <f>+SUM($E$23:$E$24)</f>
        <v>584693.34026826033</v>
      </c>
      <c r="P21" s="25">
        <f>+SUM($E$25:$E$26)</f>
        <v>579431.18012761069</v>
      </c>
      <c r="Q21" s="25">
        <f>+SUM($E$27:$E$28)</f>
        <v>574052.84075724334</v>
      </c>
      <c r="R21" s="25">
        <f>+SUM($E$29:$E$30)</f>
        <v>568555.75712434715</v>
      </c>
      <c r="S21" s="25">
        <f>+SUM($E$31:$E$32)</f>
        <v>562937.30756470351</v>
      </c>
      <c r="T21" s="25">
        <f>+SUM($E$33:$E$34)</f>
        <v>557194.81253236427</v>
      </c>
      <c r="U21" s="25">
        <f>+SUM($E$35:$E$36)</f>
        <v>551325.53332172497</v>
      </c>
    </row>
    <row r="22" spans="2:71" x14ac:dyDescent="0.2">
      <c r="B22">
        <v>6</v>
      </c>
      <c r="C22" s="25">
        <f t="shared" si="3"/>
        <v>26804657.101588041</v>
      </c>
      <c r="D22" s="25">
        <f t="shared" si="1"/>
        <v>117233.04733539936</v>
      </c>
      <c r="E22" s="25">
        <f t="shared" si="2"/>
        <v>294284.36189350055</v>
      </c>
      <c r="F22" s="42">
        <f t="shared" si="4"/>
        <v>411517.40922889992</v>
      </c>
      <c r="G22" s="25">
        <f t="shared" si="5"/>
        <v>26687424.054252639</v>
      </c>
      <c r="H22" s="3">
        <f t="shared" si="0"/>
        <v>1</v>
      </c>
      <c r="K22" t="s">
        <v>165</v>
      </c>
      <c r="L22" s="25">
        <f>+$E$17</f>
        <v>300513.13558014773</v>
      </c>
      <c r="M22" s="25">
        <f>+$E$18</f>
        <v>299294.43609392148</v>
      </c>
      <c r="N22" s="25">
        <f>+$E$19</f>
        <v>298062.35668646428</v>
      </c>
      <c r="O22" s="25">
        <f>+$E$20</f>
        <v>296816.75046160171</v>
      </c>
      <c r="P22" s="25">
        <f>+$E$21</f>
        <v>295557.46891040821</v>
      </c>
      <c r="Q22" s="25">
        <f>+$E$22</f>
        <v>294284.36189350055</v>
      </c>
      <c r="R22" s="25">
        <f>+$E$23</f>
        <v>292997.27762313752</v>
      </c>
      <c r="S22" s="25">
        <f>+$E$24</f>
        <v>291696.06264512282</v>
      </c>
      <c r="T22" s="25">
        <f>+$E$25</f>
        <v>290380.56182050909</v>
      </c>
      <c r="U22" s="25">
        <f>+$E$26</f>
        <v>289050.6183071016</v>
      </c>
    </row>
    <row r="23" spans="2:71" x14ac:dyDescent="0.2">
      <c r="B23">
        <v>7</v>
      </c>
      <c r="C23" s="25">
        <f t="shared" si="3"/>
        <v>26687424.054252639</v>
      </c>
      <c r="D23" s="25">
        <f t="shared" si="1"/>
        <v>118520.13160576236</v>
      </c>
      <c r="E23" s="25">
        <f t="shared" si="2"/>
        <v>292997.27762313752</v>
      </c>
      <c r="F23" s="42">
        <f t="shared" si="4"/>
        <v>411517.40922889987</v>
      </c>
      <c r="G23" s="25">
        <f t="shared" si="5"/>
        <v>26568903.922646876</v>
      </c>
      <c r="H23" s="3">
        <f t="shared" si="0"/>
        <v>1</v>
      </c>
    </row>
    <row r="24" spans="2:71" x14ac:dyDescent="0.2">
      <c r="B24">
        <v>8</v>
      </c>
      <c r="C24" s="25">
        <f t="shared" si="3"/>
        <v>26568903.922646876</v>
      </c>
      <c r="D24" s="25">
        <f t="shared" si="1"/>
        <v>119821.34658377712</v>
      </c>
      <c r="E24" s="25">
        <f t="shared" si="2"/>
        <v>291696.06264512282</v>
      </c>
      <c r="F24" s="42">
        <f t="shared" si="4"/>
        <v>411517.40922889992</v>
      </c>
      <c r="G24" s="25">
        <f t="shared" si="5"/>
        <v>26449082.5760631</v>
      </c>
      <c r="H24" s="3">
        <f t="shared" si="0"/>
        <v>1</v>
      </c>
      <c r="K24" s="97" t="s">
        <v>182</v>
      </c>
    </row>
    <row r="25" spans="2:71" x14ac:dyDescent="0.2">
      <c r="B25">
        <v>9</v>
      </c>
      <c r="C25" s="25">
        <f t="shared" si="3"/>
        <v>26449082.5760631</v>
      </c>
      <c r="D25" s="25">
        <f t="shared" si="1"/>
        <v>121136.84740839082</v>
      </c>
      <c r="E25" s="25">
        <f t="shared" si="2"/>
        <v>290380.56182050909</v>
      </c>
      <c r="F25" s="42">
        <f t="shared" si="4"/>
        <v>411517.40922889992</v>
      </c>
      <c r="G25" s="25">
        <f t="shared" si="5"/>
        <v>26327945.728654709</v>
      </c>
      <c r="H25" s="3">
        <f t="shared" si="0"/>
        <v>1</v>
      </c>
      <c r="K25" s="97" t="s">
        <v>181</v>
      </c>
      <c r="L25" s="2">
        <v>1</v>
      </c>
      <c r="M25" s="2">
        <v>2</v>
      </c>
      <c r="N25" s="2">
        <v>3</v>
      </c>
      <c r="O25" s="2">
        <v>4</v>
      </c>
      <c r="P25" s="2">
        <v>5</v>
      </c>
      <c r="Q25" s="2">
        <v>6</v>
      </c>
      <c r="R25" s="2">
        <v>7</v>
      </c>
      <c r="S25" s="2">
        <v>8</v>
      </c>
      <c r="T25" s="2">
        <v>9</v>
      </c>
      <c r="U25" s="2">
        <v>10</v>
      </c>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row>
    <row r="26" spans="2:71" x14ac:dyDescent="0.2">
      <c r="B26">
        <v>10</v>
      </c>
      <c r="C26" s="25">
        <f t="shared" si="3"/>
        <v>26327945.728654709</v>
      </c>
      <c r="D26" s="25">
        <f t="shared" si="1"/>
        <v>122466.7909217983</v>
      </c>
      <c r="E26" s="25">
        <f t="shared" si="2"/>
        <v>289050.6183071016</v>
      </c>
      <c r="F26" s="42">
        <f t="shared" si="4"/>
        <v>411517.40922889987</v>
      </c>
      <c r="G26" s="25">
        <f t="shared" si="5"/>
        <v>26205478.937732909</v>
      </c>
      <c r="H26" s="3">
        <f t="shared" si="0"/>
        <v>1</v>
      </c>
      <c r="K26" t="s">
        <v>162</v>
      </c>
      <c r="L26" s="25">
        <f>+SUM($D$17:$D$28)</f>
        <v>1415503.0399676405</v>
      </c>
      <c r="M26" s="25">
        <f>+SUM($D$29:$D$40)</f>
        <v>1613673.4655631087</v>
      </c>
      <c r="N26" s="25">
        <f>+SUM($D$41:$D$52)</f>
        <v>1839587.7507419419</v>
      </c>
      <c r="O26" s="25">
        <f>+SUM($D$53:$D$64)</f>
        <v>2097130.0358458115</v>
      </c>
      <c r="P26" s="25">
        <f>+SUM($D$65:$D$76)</f>
        <v>2390728.2408642224</v>
      </c>
      <c r="Q26" s="25">
        <f>+SUM($D$77:$D$88)</f>
        <v>2725430.1945852111</v>
      </c>
      <c r="R26" s="25">
        <f>+SUM($D$89:$D$100)</f>
        <v>3106990.4218271384</v>
      </c>
      <c r="S26" s="25">
        <f>+SUM($D$101:$D$112)</f>
        <v>3541969.0808829339</v>
      </c>
      <c r="T26" s="25">
        <f>+SUM($D$113:$D$124)</f>
        <v>4037844.7522065397</v>
      </c>
      <c r="U26" s="25">
        <f>+SUM($D$125:$D$136)</f>
        <v>4603143.0175154507</v>
      </c>
    </row>
    <row r="27" spans="2:71" x14ac:dyDescent="0.2">
      <c r="B27">
        <v>11</v>
      </c>
      <c r="C27" s="25">
        <f t="shared" si="3"/>
        <v>26205478.937732909</v>
      </c>
      <c r="D27" s="25">
        <f t="shared" si="1"/>
        <v>123811.33568814158</v>
      </c>
      <c r="E27" s="25">
        <f t="shared" si="2"/>
        <v>287706.07354075834</v>
      </c>
      <c r="F27" s="42">
        <f t="shared" si="4"/>
        <v>411517.40922889992</v>
      </c>
      <c r="G27" s="25">
        <f t="shared" si="5"/>
        <v>26081667.602044769</v>
      </c>
      <c r="H27" s="3">
        <f t="shared" si="0"/>
        <v>1</v>
      </c>
      <c r="K27" t="s">
        <v>163</v>
      </c>
      <c r="L27" s="25">
        <f>+SUM($D$17:$D$20)</f>
        <v>451382.95809346432</v>
      </c>
      <c r="M27" s="25">
        <f>+SUM($D$21:$D$24)</f>
        <v>471534.46584343049</v>
      </c>
      <c r="N27" s="25">
        <f>+SUM($D$25:$D$28)</f>
        <v>492585.61603074562</v>
      </c>
      <c r="O27" s="25">
        <f>+SUM($D$29:$D$32)</f>
        <v>514576.57222654886</v>
      </c>
      <c r="P27" s="25">
        <f>+SUM($D$33:$D$36)</f>
        <v>537549.29106151033</v>
      </c>
      <c r="Q27" s="25">
        <f>+SUM($D$37:$D$40)</f>
        <v>561547.60227504943</v>
      </c>
      <c r="R27" s="25">
        <f>+SUM($D$41:$D$44)</f>
        <v>586617.29233826499</v>
      </c>
      <c r="S27" s="25">
        <f>+SUM($D$45:$D$48)</f>
        <v>612806.19181012118</v>
      </c>
      <c r="T27" s="25">
        <f>+SUM($D$49:$D$52)</f>
        <v>640164.26659355569</v>
      </c>
      <c r="U27" s="25">
        <f>+SUM($D$53:$D$56)</f>
        <v>668743.71326562157</v>
      </c>
    </row>
    <row r="28" spans="2:71" x14ac:dyDescent="0.2">
      <c r="B28">
        <v>12</v>
      </c>
      <c r="C28" s="25">
        <f t="shared" si="3"/>
        <v>26081667.602044769</v>
      </c>
      <c r="D28" s="25">
        <f t="shared" si="1"/>
        <v>125170.64201241492</v>
      </c>
      <c r="E28" s="25">
        <f t="shared" si="2"/>
        <v>286346.76721648499</v>
      </c>
      <c r="F28" s="42">
        <f t="shared" si="4"/>
        <v>411517.40922889992</v>
      </c>
      <c r="G28" s="25">
        <f t="shared" si="5"/>
        <v>25956496.960032355</v>
      </c>
      <c r="H28" s="3">
        <f t="shared" si="0"/>
        <v>1</v>
      </c>
      <c r="K28" t="s">
        <v>164</v>
      </c>
      <c r="L28" s="25">
        <f>+SUM($D$17:$D$18)</f>
        <v>223227.24678373054</v>
      </c>
      <c r="M28" s="25">
        <f>+SUM($D$19:$D$20)</f>
        <v>228155.7113097338</v>
      </c>
      <c r="N28" s="25">
        <f>+SUM($D$21:$D$22)</f>
        <v>233192.98765389103</v>
      </c>
      <c r="O28" s="25">
        <f>+SUM($D$23:$D$24)</f>
        <v>238341.47818953948</v>
      </c>
      <c r="P28" s="25">
        <f>+SUM($D$25:$D$26)</f>
        <v>243603.6383301891</v>
      </c>
      <c r="Q28" s="25">
        <f>+SUM($D$27:$D$28)</f>
        <v>248981.97770055651</v>
      </c>
      <c r="R28" s="25">
        <f>+SUM($D$29:$D$30)</f>
        <v>254479.06133345261</v>
      </c>
      <c r="S28" s="25">
        <f>+SUM($D$31:$D$32)</f>
        <v>260097.51089309622</v>
      </c>
      <c r="T28" s="25">
        <f>+SUM($D$33:$D$34)</f>
        <v>265840.00592543551</v>
      </c>
      <c r="U28" s="25">
        <f>+SUM($D$35:$D$36)</f>
        <v>271709.28513607476</v>
      </c>
    </row>
    <row r="29" spans="2:71" x14ac:dyDescent="0.2">
      <c r="B29">
        <v>13</v>
      </c>
      <c r="C29" s="25">
        <f t="shared" si="3"/>
        <v>25956496.960032355</v>
      </c>
      <c r="D29" s="25">
        <f t="shared" si="1"/>
        <v>126544.87195957739</v>
      </c>
      <c r="E29" s="25">
        <f t="shared" si="2"/>
        <v>284972.53726932255</v>
      </c>
      <c r="F29" s="42">
        <f t="shared" si="4"/>
        <v>411517.40922889992</v>
      </c>
      <c r="G29" s="25">
        <f t="shared" si="5"/>
        <v>25829952.088072777</v>
      </c>
      <c r="H29" s="3">
        <f t="shared" si="0"/>
        <v>1</v>
      </c>
      <c r="K29" t="s">
        <v>165</v>
      </c>
      <c r="L29" s="25">
        <f>+$D$17</f>
        <v>111004.27364875218</v>
      </c>
      <c r="M29" s="25">
        <f>+$D$18</f>
        <v>112222.97313497837</v>
      </c>
      <c r="N29" s="25">
        <f>+$D$19</f>
        <v>113455.05254243562</v>
      </c>
      <c r="O29" s="25">
        <f>+$D$20</f>
        <v>114700.65876729817</v>
      </c>
      <c r="P29" s="25">
        <f>+$D$21</f>
        <v>115959.94031849167</v>
      </c>
      <c r="Q29" s="25">
        <f>+$D$22</f>
        <v>117233.04733539936</v>
      </c>
      <c r="R29" s="25">
        <f>+$D$23</f>
        <v>118520.13160576236</v>
      </c>
      <c r="S29" s="25">
        <f>+$D$24</f>
        <v>119821.34658377712</v>
      </c>
      <c r="T29" s="25">
        <f>+$D$25</f>
        <v>121136.84740839082</v>
      </c>
      <c r="U29" s="25">
        <f>+$D$26</f>
        <v>122466.7909217983</v>
      </c>
    </row>
    <row r="30" spans="2:71" x14ac:dyDescent="0.2">
      <c r="B30">
        <v>14</v>
      </c>
      <c r="C30" s="25">
        <f t="shared" si="3"/>
        <v>25829952.088072777</v>
      </c>
      <c r="D30" s="25">
        <f t="shared" si="1"/>
        <v>127934.18937387523</v>
      </c>
      <c r="E30" s="25">
        <f t="shared" si="2"/>
        <v>283583.21985502465</v>
      </c>
      <c r="F30" s="42">
        <f t="shared" si="4"/>
        <v>411517.40922889987</v>
      </c>
      <c r="G30" s="25">
        <f t="shared" si="5"/>
        <v>25702017.8986989</v>
      </c>
      <c r="H30" s="3">
        <f t="shared" si="0"/>
        <v>1</v>
      </c>
    </row>
    <row r="31" spans="2:71" x14ac:dyDescent="0.2">
      <c r="B31">
        <v>15</v>
      </c>
      <c r="C31" s="25">
        <f t="shared" si="3"/>
        <v>25702017.8986989</v>
      </c>
      <c r="D31" s="25">
        <f t="shared" si="1"/>
        <v>129338.75989837643</v>
      </c>
      <c r="E31" s="25">
        <f t="shared" si="2"/>
        <v>282178.64933052345</v>
      </c>
      <c r="F31" s="42">
        <f t="shared" si="4"/>
        <v>411517.40922889987</v>
      </c>
      <c r="G31" s="25">
        <f t="shared" si="5"/>
        <v>25572679.138800524</v>
      </c>
      <c r="H31" s="3">
        <f t="shared" si="0"/>
        <v>1</v>
      </c>
      <c r="K31" s="97" t="s">
        <v>182</v>
      </c>
      <c r="L31">
        <v>12</v>
      </c>
      <c r="M31">
        <f>+L31+12</f>
        <v>24</v>
      </c>
      <c r="N31">
        <f t="shared" ref="N31:U31" si="6">+M31+12</f>
        <v>36</v>
      </c>
      <c r="O31">
        <f t="shared" si="6"/>
        <v>48</v>
      </c>
      <c r="P31">
        <f t="shared" si="6"/>
        <v>60</v>
      </c>
      <c r="Q31">
        <f t="shared" si="6"/>
        <v>72</v>
      </c>
      <c r="R31">
        <f t="shared" si="6"/>
        <v>84</v>
      </c>
      <c r="S31">
        <f t="shared" si="6"/>
        <v>96</v>
      </c>
      <c r="T31">
        <f t="shared" si="6"/>
        <v>108</v>
      </c>
      <c r="U31">
        <f t="shared" si="6"/>
        <v>120</v>
      </c>
    </row>
    <row r="32" spans="2:71" x14ac:dyDescent="0.2">
      <c r="B32">
        <v>16</v>
      </c>
      <c r="C32" s="25">
        <f t="shared" si="3"/>
        <v>25572679.138800524</v>
      </c>
      <c r="D32" s="25">
        <f t="shared" si="1"/>
        <v>130758.75099471978</v>
      </c>
      <c r="E32" s="25">
        <f t="shared" si="2"/>
        <v>280758.65823418013</v>
      </c>
      <c r="F32" s="42">
        <f t="shared" si="4"/>
        <v>411517.40922889992</v>
      </c>
      <c r="G32" s="25">
        <f t="shared" si="5"/>
        <v>25441920.387805805</v>
      </c>
      <c r="H32" s="3">
        <f t="shared" si="0"/>
        <v>1</v>
      </c>
      <c r="K32" s="97" t="s">
        <v>183</v>
      </c>
      <c r="L32" s="2">
        <v>1</v>
      </c>
      <c r="M32" s="2">
        <v>2</v>
      </c>
      <c r="N32" s="2">
        <v>3</v>
      </c>
      <c r="O32" s="2">
        <v>4</v>
      </c>
      <c r="P32" s="2">
        <v>5</v>
      </c>
      <c r="Q32" s="2">
        <v>6</v>
      </c>
      <c r="R32" s="2">
        <v>7</v>
      </c>
      <c r="S32" s="2">
        <v>8</v>
      </c>
      <c r="T32" s="2">
        <v>9</v>
      </c>
      <c r="U32" s="2">
        <v>10</v>
      </c>
    </row>
    <row r="33" spans="2:21" x14ac:dyDescent="0.2">
      <c r="B33">
        <v>17</v>
      </c>
      <c r="C33" s="25">
        <f t="shared" si="3"/>
        <v>25441920.387805805</v>
      </c>
      <c r="D33" s="25">
        <f t="shared" si="1"/>
        <v>132194.33196308039</v>
      </c>
      <c r="E33" s="25">
        <f t="shared" si="2"/>
        <v>279323.07726581948</v>
      </c>
      <c r="F33" s="42">
        <f t="shared" si="4"/>
        <v>411517.40922889987</v>
      </c>
      <c r="G33" s="25">
        <f t="shared" si="5"/>
        <v>25309726.055842724</v>
      </c>
      <c r="H33" s="3">
        <f t="shared" si="0"/>
        <v>1</v>
      </c>
      <c r="K33" t="s">
        <v>162</v>
      </c>
      <c r="L33" s="25">
        <f>+VLOOKUP(L31,$B$16:$H$136,6,0)</f>
        <v>25956496.960032355</v>
      </c>
      <c r="M33" s="25">
        <f t="shared" ref="M33:U33" si="7">+VLOOKUP(M31,$B$16:$H$136,6,0)</f>
        <v>24342823.494469251</v>
      </c>
      <c r="N33" s="25">
        <f t="shared" si="7"/>
        <v>22503235.743727311</v>
      </c>
      <c r="O33" s="25">
        <f t="shared" si="7"/>
        <v>20406105.707881503</v>
      </c>
      <c r="P33" s="25">
        <f t="shared" si="7"/>
        <v>18015377.467017274</v>
      </c>
      <c r="Q33" s="25">
        <f t="shared" si="7"/>
        <v>15289947.272432061</v>
      </c>
      <c r="R33" s="25">
        <f t="shared" si="7"/>
        <v>12182956.850604923</v>
      </c>
      <c r="S33" s="25">
        <f t="shared" si="7"/>
        <v>8640987.7697219905</v>
      </c>
      <c r="T33" s="25">
        <f t="shared" si="7"/>
        <v>4603143.0175154489</v>
      </c>
      <c r="U33" s="25">
        <f t="shared" si="7"/>
        <v>-2.3865140974521637E-9</v>
      </c>
    </row>
    <row r="34" spans="2:21" x14ac:dyDescent="0.2">
      <c r="B34">
        <v>18</v>
      </c>
      <c r="C34" s="25">
        <f t="shared" si="3"/>
        <v>25309726.055842724</v>
      </c>
      <c r="D34" s="25">
        <f t="shared" si="1"/>
        <v>133645.67396235513</v>
      </c>
      <c r="E34" s="25">
        <f t="shared" si="2"/>
        <v>277871.7352665448</v>
      </c>
      <c r="F34" s="42">
        <f t="shared" si="4"/>
        <v>411517.40922889992</v>
      </c>
      <c r="G34" s="25">
        <f t="shared" si="5"/>
        <v>25176080.381880369</v>
      </c>
      <c r="H34" s="3">
        <f t="shared" si="0"/>
        <v>1</v>
      </c>
      <c r="K34" t="s">
        <v>163</v>
      </c>
      <c r="L34" s="25">
        <f>+L33</f>
        <v>25956496.960032355</v>
      </c>
      <c r="M34" s="25">
        <f t="shared" ref="M34:U36" si="8">+M33</f>
        <v>24342823.494469251</v>
      </c>
      <c r="N34" s="25">
        <f t="shared" si="8"/>
        <v>22503235.743727311</v>
      </c>
      <c r="O34" s="25">
        <f t="shared" si="8"/>
        <v>20406105.707881503</v>
      </c>
      <c r="P34" s="25">
        <f t="shared" si="8"/>
        <v>18015377.467017274</v>
      </c>
      <c r="Q34" s="25">
        <f t="shared" si="8"/>
        <v>15289947.272432061</v>
      </c>
      <c r="R34" s="25">
        <f t="shared" si="8"/>
        <v>12182956.850604923</v>
      </c>
      <c r="S34" s="25">
        <f t="shared" si="8"/>
        <v>8640987.7697219905</v>
      </c>
      <c r="T34" s="25">
        <f t="shared" si="8"/>
        <v>4603143.0175154489</v>
      </c>
      <c r="U34" s="25">
        <f t="shared" si="8"/>
        <v>-2.3865140974521637E-9</v>
      </c>
    </row>
    <row r="35" spans="2:21" x14ac:dyDescent="0.2">
      <c r="B35">
        <v>19</v>
      </c>
      <c r="C35" s="25">
        <f t="shared" si="3"/>
        <v>25176080.381880369</v>
      </c>
      <c r="D35" s="25">
        <f t="shared" si="1"/>
        <v>135112.95003056899</v>
      </c>
      <c r="E35" s="25">
        <f t="shared" si="2"/>
        <v>276404.45919833088</v>
      </c>
      <c r="F35" s="42">
        <f t="shared" si="4"/>
        <v>411517.40922889987</v>
      </c>
      <c r="G35" s="25">
        <f t="shared" si="5"/>
        <v>25040967.4318498</v>
      </c>
      <c r="H35" s="3">
        <f t="shared" si="0"/>
        <v>1</v>
      </c>
      <c r="K35" t="s">
        <v>164</v>
      </c>
      <c r="L35" s="25">
        <f t="shared" ref="L35:L36" si="9">+L34</f>
        <v>25956496.960032355</v>
      </c>
      <c r="M35" s="25">
        <f t="shared" si="8"/>
        <v>24342823.494469251</v>
      </c>
      <c r="N35" s="25">
        <f t="shared" si="8"/>
        <v>22503235.743727311</v>
      </c>
      <c r="O35" s="25">
        <f t="shared" si="8"/>
        <v>20406105.707881503</v>
      </c>
      <c r="P35" s="25">
        <f t="shared" si="8"/>
        <v>18015377.467017274</v>
      </c>
      <c r="Q35" s="25">
        <f t="shared" si="8"/>
        <v>15289947.272432061</v>
      </c>
      <c r="R35" s="25">
        <f t="shared" si="8"/>
        <v>12182956.850604923</v>
      </c>
      <c r="S35" s="25">
        <f t="shared" si="8"/>
        <v>8640987.7697219905</v>
      </c>
      <c r="T35" s="25">
        <f t="shared" si="8"/>
        <v>4603143.0175154489</v>
      </c>
      <c r="U35" s="25">
        <f t="shared" si="8"/>
        <v>-2.3865140974521637E-9</v>
      </c>
    </row>
    <row r="36" spans="2:21" x14ac:dyDescent="0.2">
      <c r="B36">
        <v>20</v>
      </c>
      <c r="C36" s="25">
        <f t="shared" si="3"/>
        <v>25040967.4318498</v>
      </c>
      <c r="D36" s="25">
        <f t="shared" si="1"/>
        <v>136596.33510550577</v>
      </c>
      <c r="E36" s="25">
        <f t="shared" si="2"/>
        <v>274921.07412339415</v>
      </c>
      <c r="F36" s="42">
        <f t="shared" si="4"/>
        <v>411517.40922889992</v>
      </c>
      <c r="G36" s="25">
        <f t="shared" si="5"/>
        <v>24904371.096744295</v>
      </c>
      <c r="H36" s="3">
        <f>+IF($B$7&gt;=B36,1,0)</f>
        <v>1</v>
      </c>
      <c r="K36" t="s">
        <v>165</v>
      </c>
      <c r="L36" s="25">
        <f t="shared" si="9"/>
        <v>25956496.960032355</v>
      </c>
      <c r="M36" s="25">
        <f t="shared" si="8"/>
        <v>24342823.494469251</v>
      </c>
      <c r="N36" s="25">
        <f t="shared" si="8"/>
        <v>22503235.743727311</v>
      </c>
      <c r="O36" s="25">
        <f t="shared" si="8"/>
        <v>20406105.707881503</v>
      </c>
      <c r="P36" s="25">
        <f t="shared" si="8"/>
        <v>18015377.467017274</v>
      </c>
      <c r="Q36" s="25">
        <f t="shared" si="8"/>
        <v>15289947.272432061</v>
      </c>
      <c r="R36" s="25">
        <f t="shared" si="8"/>
        <v>12182956.850604923</v>
      </c>
      <c r="S36" s="25">
        <f t="shared" si="8"/>
        <v>8640987.7697219905</v>
      </c>
      <c r="T36" s="25">
        <f t="shared" si="8"/>
        <v>4603143.0175154489</v>
      </c>
      <c r="U36" s="25">
        <f t="shared" si="8"/>
        <v>-2.3865140974521637E-9</v>
      </c>
    </row>
    <row r="37" spans="2:21" x14ac:dyDescent="0.2">
      <c r="B37">
        <v>21</v>
      </c>
      <c r="C37" s="25">
        <f t="shared" si="3"/>
        <v>24904371.096744295</v>
      </c>
      <c r="D37" s="25">
        <f t="shared" si="1"/>
        <v>138096.00604556539</v>
      </c>
      <c r="E37" s="25">
        <f t="shared" si="2"/>
        <v>273421.40318333451</v>
      </c>
      <c r="F37" s="42">
        <f t="shared" si="4"/>
        <v>411517.40922889987</v>
      </c>
      <c r="G37" s="25">
        <f t="shared" si="5"/>
        <v>24766275.09069873</v>
      </c>
      <c r="H37" s="3">
        <f t="shared" ref="H37:H100" si="10">+IF($B$7&gt;=B37,1,0)</f>
        <v>1</v>
      </c>
    </row>
    <row r="38" spans="2:21" x14ac:dyDescent="0.2">
      <c r="B38">
        <v>22</v>
      </c>
      <c r="C38" s="25">
        <f t="shared" si="3"/>
        <v>24766275.09069873</v>
      </c>
      <c r="D38" s="25">
        <f t="shared" si="1"/>
        <v>139612.14165084992</v>
      </c>
      <c r="E38" s="25">
        <f t="shared" si="2"/>
        <v>271905.26757805003</v>
      </c>
      <c r="F38" s="42">
        <f t="shared" si="4"/>
        <v>411517.40922889998</v>
      </c>
      <c r="G38" s="25">
        <f t="shared" si="5"/>
        <v>24626662.949047882</v>
      </c>
      <c r="H38" s="3">
        <f t="shared" si="10"/>
        <v>1</v>
      </c>
    </row>
    <row r="39" spans="2:21" x14ac:dyDescent="0.2">
      <c r="B39">
        <v>23</v>
      </c>
      <c r="C39" s="25">
        <f t="shared" si="3"/>
        <v>24626662.949047882</v>
      </c>
      <c r="D39" s="25">
        <f t="shared" si="1"/>
        <v>141144.92268448125</v>
      </c>
      <c r="E39" s="25">
        <f t="shared" si="2"/>
        <v>270372.48654441867</v>
      </c>
      <c r="F39" s="42">
        <f t="shared" si="4"/>
        <v>411517.40922889992</v>
      </c>
      <c r="G39" s="25">
        <f t="shared" si="5"/>
        <v>24485518.026363403</v>
      </c>
      <c r="H39" s="3">
        <f t="shared" si="10"/>
        <v>1</v>
      </c>
      <c r="K39" s="98" t="s">
        <v>184</v>
      </c>
      <c r="L39">
        <v>2</v>
      </c>
      <c r="M39">
        <v>3</v>
      </c>
      <c r="N39">
        <v>4</v>
      </c>
      <c r="O39">
        <v>5</v>
      </c>
      <c r="P39">
        <v>6</v>
      </c>
      <c r="Q39">
        <v>7</v>
      </c>
      <c r="R39">
        <v>8</v>
      </c>
      <c r="S39">
        <v>9</v>
      </c>
      <c r="T39">
        <v>10</v>
      </c>
      <c r="U39">
        <v>11</v>
      </c>
    </row>
    <row r="40" spans="2:21" x14ac:dyDescent="0.2">
      <c r="B40">
        <v>24</v>
      </c>
      <c r="C40" s="25">
        <f t="shared" si="3"/>
        <v>24485518.026363403</v>
      </c>
      <c r="D40" s="25">
        <f t="shared" si="1"/>
        <v>142694.53189415287</v>
      </c>
      <c r="E40" s="25">
        <f t="shared" si="2"/>
        <v>268822.87733474706</v>
      </c>
      <c r="F40" s="42">
        <f t="shared" si="4"/>
        <v>411517.40922889992</v>
      </c>
      <c r="G40" s="25">
        <f t="shared" si="5"/>
        <v>24342823.494469251</v>
      </c>
      <c r="H40" s="3">
        <f t="shared" si="10"/>
        <v>1</v>
      </c>
    </row>
    <row r="41" spans="2:21" x14ac:dyDescent="0.2">
      <c r="B41">
        <v>25</v>
      </c>
      <c r="C41" s="25">
        <f t="shared" si="3"/>
        <v>24342823.494469251</v>
      </c>
      <c r="D41" s="25">
        <f t="shared" si="1"/>
        <v>144261.15403391805</v>
      </c>
      <c r="E41" s="25">
        <f t="shared" si="2"/>
        <v>267256.25519498187</v>
      </c>
      <c r="F41" s="42">
        <f t="shared" si="4"/>
        <v>411517.40922889992</v>
      </c>
      <c r="G41" s="25">
        <f t="shared" si="5"/>
        <v>24198562.340435334</v>
      </c>
      <c r="H41" s="3">
        <f t="shared" si="10"/>
        <v>1</v>
      </c>
      <c r="K41" t="s">
        <v>180</v>
      </c>
      <c r="L41" s="25">
        <f>+VLOOKUP($B$4,$K$18:$U$22,L$39,0)</f>
        <v>3522705.8707791581</v>
      </c>
      <c r="M41" s="25">
        <f t="shared" ref="M41:U41" si="11">+VLOOKUP($B$4,$K$18:$U$22,M$39,0)</f>
        <v>3324535.4451836902</v>
      </c>
      <c r="N41" s="25">
        <f t="shared" si="11"/>
        <v>3098621.1600048575</v>
      </c>
      <c r="O41" s="25">
        <f t="shared" si="11"/>
        <v>2841078.8749009874</v>
      </c>
      <c r="P41" s="25">
        <f t="shared" si="11"/>
        <v>2547480.669882576</v>
      </c>
      <c r="Q41" s="25">
        <f t="shared" si="11"/>
        <v>2212778.7161615877</v>
      </c>
      <c r="R41" s="25">
        <f t="shared" si="11"/>
        <v>1831218.4889196616</v>
      </c>
      <c r="S41" s="25">
        <f t="shared" si="11"/>
        <v>1396239.8298638656</v>
      </c>
      <c r="T41" s="25">
        <f t="shared" si="11"/>
        <v>900364.15854025877</v>
      </c>
      <c r="U41" s="25">
        <f t="shared" si="11"/>
        <v>335065.89323134779</v>
      </c>
    </row>
    <row r="42" spans="2:21" x14ac:dyDescent="0.2">
      <c r="B42">
        <v>26</v>
      </c>
      <c r="C42" s="25">
        <f t="shared" si="3"/>
        <v>24198562.340435334</v>
      </c>
      <c r="D42" s="25">
        <f t="shared" si="1"/>
        <v>145844.97588621758</v>
      </c>
      <c r="E42" s="25">
        <f t="shared" si="2"/>
        <v>265672.43334268231</v>
      </c>
      <c r="F42" s="42">
        <f t="shared" si="4"/>
        <v>411517.40922889987</v>
      </c>
      <c r="G42" s="25">
        <f t="shared" si="5"/>
        <v>24052717.364549115</v>
      </c>
      <c r="H42" s="3">
        <f t="shared" si="10"/>
        <v>1</v>
      </c>
      <c r="K42" t="s">
        <v>182</v>
      </c>
      <c r="L42" s="25">
        <f>+VLOOKUP($B$4,$K$25:$U$29,L$39,0)</f>
        <v>1415503.0399676405</v>
      </c>
      <c r="M42" s="25">
        <f t="shared" ref="M42:U42" si="12">+VLOOKUP($B$4,$K$25:$U$29,M$39,0)</f>
        <v>1613673.4655631087</v>
      </c>
      <c r="N42" s="25">
        <f t="shared" si="12"/>
        <v>1839587.7507419419</v>
      </c>
      <c r="O42" s="25">
        <f t="shared" si="12"/>
        <v>2097130.0358458115</v>
      </c>
      <c r="P42" s="25">
        <f t="shared" si="12"/>
        <v>2390728.2408642224</v>
      </c>
      <c r="Q42" s="25">
        <f t="shared" si="12"/>
        <v>2725430.1945852111</v>
      </c>
      <c r="R42" s="25">
        <f t="shared" si="12"/>
        <v>3106990.4218271384</v>
      </c>
      <c r="S42" s="25">
        <f t="shared" si="12"/>
        <v>3541969.0808829339</v>
      </c>
      <c r="T42" s="25">
        <f t="shared" si="12"/>
        <v>4037844.7522065397</v>
      </c>
      <c r="U42" s="25">
        <f t="shared" si="12"/>
        <v>4603143.0175154507</v>
      </c>
    </row>
    <row r="43" spans="2:21" x14ac:dyDescent="0.2">
      <c r="B43">
        <v>27</v>
      </c>
      <c r="C43" s="25">
        <f t="shared" si="3"/>
        <v>24052717.364549115</v>
      </c>
      <c r="D43" s="25">
        <f t="shared" si="1"/>
        <v>147446.18628414904</v>
      </c>
      <c r="E43" s="25">
        <f t="shared" si="2"/>
        <v>264071.22294475092</v>
      </c>
      <c r="F43" s="42">
        <f t="shared" si="4"/>
        <v>411517.40922889998</v>
      </c>
      <c r="G43" s="25">
        <f t="shared" si="5"/>
        <v>23905271.178264968</v>
      </c>
      <c r="H43" s="3">
        <f t="shared" si="10"/>
        <v>1</v>
      </c>
      <c r="K43" t="s">
        <v>185</v>
      </c>
      <c r="L43" s="25">
        <f>+VLOOKUP($B$4,$K$32:$U$36,L$39,0)</f>
        <v>25956496.960032355</v>
      </c>
      <c r="M43" s="25">
        <f t="shared" ref="M43:U43" si="13">+VLOOKUP($B$4,$K$32:$U$36,M$39,0)</f>
        <v>24342823.494469251</v>
      </c>
      <c r="N43" s="25">
        <f t="shared" si="13"/>
        <v>22503235.743727311</v>
      </c>
      <c r="O43" s="25">
        <f t="shared" si="13"/>
        <v>20406105.707881503</v>
      </c>
      <c r="P43" s="25">
        <f t="shared" si="13"/>
        <v>18015377.467017274</v>
      </c>
      <c r="Q43" s="25">
        <f t="shared" si="13"/>
        <v>15289947.272432061</v>
      </c>
      <c r="R43" s="25">
        <f t="shared" si="13"/>
        <v>12182956.850604923</v>
      </c>
      <c r="S43" s="25">
        <f t="shared" si="13"/>
        <v>8640987.7697219905</v>
      </c>
      <c r="T43" s="25">
        <f t="shared" si="13"/>
        <v>4603143.0175154489</v>
      </c>
      <c r="U43" s="25">
        <f t="shared" si="13"/>
        <v>-2.3865140974521637E-9</v>
      </c>
    </row>
    <row r="44" spans="2:21" x14ac:dyDescent="0.2">
      <c r="B44">
        <v>28</v>
      </c>
      <c r="C44" s="25">
        <f t="shared" si="3"/>
        <v>23905271.178264968</v>
      </c>
      <c r="D44" s="25">
        <f t="shared" si="1"/>
        <v>149064.97613398035</v>
      </c>
      <c r="E44" s="25">
        <f t="shared" si="2"/>
        <v>262452.43309491954</v>
      </c>
      <c r="F44" s="42">
        <f t="shared" si="4"/>
        <v>411517.40922889987</v>
      </c>
      <c r="G44" s="25">
        <f t="shared" si="5"/>
        <v>23756206.202130988</v>
      </c>
      <c r="H44" s="3">
        <f t="shared" si="10"/>
        <v>1</v>
      </c>
    </row>
    <row r="45" spans="2:21" x14ac:dyDescent="0.2">
      <c r="B45">
        <v>29</v>
      </c>
      <c r="C45" s="25">
        <f t="shared" si="3"/>
        <v>23756206.202130988</v>
      </c>
      <c r="D45" s="25">
        <f t="shared" si="1"/>
        <v>150701.53843791151</v>
      </c>
      <c r="E45" s="25">
        <f t="shared" si="2"/>
        <v>260815.87079098841</v>
      </c>
      <c r="F45" s="42">
        <f t="shared" si="4"/>
        <v>411517.40922889992</v>
      </c>
      <c r="G45" s="25">
        <f t="shared" si="5"/>
        <v>23605504.663693078</v>
      </c>
      <c r="H45" s="3">
        <f t="shared" si="10"/>
        <v>1</v>
      </c>
    </row>
    <row r="46" spans="2:21" x14ac:dyDescent="0.2">
      <c r="B46">
        <v>30</v>
      </c>
      <c r="C46" s="25">
        <f t="shared" si="3"/>
        <v>23605504.663693078</v>
      </c>
      <c r="D46" s="25">
        <f t="shared" si="1"/>
        <v>152356.06831708469</v>
      </c>
      <c r="E46" s="25">
        <f t="shared" si="2"/>
        <v>259161.3409118152</v>
      </c>
      <c r="F46" s="42">
        <f t="shared" si="4"/>
        <v>411517.40922889987</v>
      </c>
      <c r="G46" s="25">
        <f t="shared" si="5"/>
        <v>23453148.595375992</v>
      </c>
      <c r="H46" s="3">
        <f t="shared" si="10"/>
        <v>1</v>
      </c>
    </row>
    <row r="47" spans="2:21" x14ac:dyDescent="0.2">
      <c r="B47">
        <v>31</v>
      </c>
      <c r="C47" s="25">
        <f t="shared" si="3"/>
        <v>23453148.595375992</v>
      </c>
      <c r="D47" s="25">
        <f t="shared" si="1"/>
        <v>154028.76303484847</v>
      </c>
      <c r="E47" s="25">
        <f t="shared" si="2"/>
        <v>257488.64619405143</v>
      </c>
      <c r="F47" s="42">
        <f t="shared" si="4"/>
        <v>411517.40922889987</v>
      </c>
      <c r="G47" s="25">
        <f t="shared" si="5"/>
        <v>23299119.832341146</v>
      </c>
      <c r="H47" s="3">
        <f t="shared" si="10"/>
        <v>1</v>
      </c>
    </row>
    <row r="48" spans="2:21" x14ac:dyDescent="0.2">
      <c r="B48">
        <v>32</v>
      </c>
      <c r="C48" s="25">
        <f t="shared" si="3"/>
        <v>23299119.832341146</v>
      </c>
      <c r="D48" s="25">
        <f t="shared" si="1"/>
        <v>155719.82202027642</v>
      </c>
      <c r="E48" s="25">
        <f t="shared" si="2"/>
        <v>255797.58720862344</v>
      </c>
      <c r="F48" s="42">
        <f t="shared" si="4"/>
        <v>411517.40922889987</v>
      </c>
      <c r="G48" s="25">
        <f t="shared" si="5"/>
        <v>23143400.010320868</v>
      </c>
      <c r="H48" s="3">
        <f t="shared" si="10"/>
        <v>1</v>
      </c>
    </row>
    <row r="49" spans="2:8" x14ac:dyDescent="0.2">
      <c r="B49">
        <v>33</v>
      </c>
      <c r="C49" s="25">
        <f t="shared" si="3"/>
        <v>23143400.010320868</v>
      </c>
      <c r="D49" s="25">
        <f t="shared" si="1"/>
        <v>157429.44689194442</v>
      </c>
      <c r="E49" s="25">
        <f t="shared" si="2"/>
        <v>254087.96233695553</v>
      </c>
      <c r="F49" s="42">
        <f t="shared" si="4"/>
        <v>411517.40922889998</v>
      </c>
      <c r="G49" s="25">
        <f t="shared" si="5"/>
        <v>22985970.563428923</v>
      </c>
      <c r="H49" s="3">
        <f t="shared" si="10"/>
        <v>1</v>
      </c>
    </row>
    <row r="50" spans="2:8" x14ac:dyDescent="0.2">
      <c r="B50">
        <v>34</v>
      </c>
      <c r="C50" s="25">
        <f t="shared" si="3"/>
        <v>22985970.563428923</v>
      </c>
      <c r="D50" s="25">
        <f t="shared" si="1"/>
        <v>159157.84148196876</v>
      </c>
      <c r="E50" s="25">
        <f t="shared" si="2"/>
        <v>252359.56774693113</v>
      </c>
      <c r="F50" s="42">
        <f t="shared" si="4"/>
        <v>411517.40922889987</v>
      </c>
      <c r="G50" s="25">
        <f t="shared" si="5"/>
        <v>22826812.721946955</v>
      </c>
      <c r="H50" s="3">
        <f t="shared" si="10"/>
        <v>1</v>
      </c>
    </row>
    <row r="51" spans="2:8" x14ac:dyDescent="0.2">
      <c r="B51">
        <v>35</v>
      </c>
      <c r="C51" s="25">
        <f t="shared" si="3"/>
        <v>22826812.721946955</v>
      </c>
      <c r="D51" s="25">
        <f t="shared" si="1"/>
        <v>160905.21186030848</v>
      </c>
      <c r="E51" s="25">
        <f t="shared" si="2"/>
        <v>250612.19736859144</v>
      </c>
      <c r="F51" s="42">
        <f t="shared" si="4"/>
        <v>411517.40922889992</v>
      </c>
      <c r="G51" s="25">
        <f t="shared" si="5"/>
        <v>22665907.510086644</v>
      </c>
      <c r="H51" s="3">
        <f t="shared" si="10"/>
        <v>1</v>
      </c>
    </row>
    <row r="52" spans="2:8" x14ac:dyDescent="0.2">
      <c r="B52">
        <v>36</v>
      </c>
      <c r="C52" s="25">
        <f t="shared" si="3"/>
        <v>22665907.510086644</v>
      </c>
      <c r="D52" s="25">
        <f t="shared" si="1"/>
        <v>162671.76635933408</v>
      </c>
      <c r="E52" s="25">
        <f t="shared" si="2"/>
        <v>248845.64286956581</v>
      </c>
      <c r="F52" s="42">
        <f t="shared" si="4"/>
        <v>411517.40922889987</v>
      </c>
      <c r="G52" s="25">
        <f t="shared" si="5"/>
        <v>22503235.743727311</v>
      </c>
      <c r="H52" s="3">
        <f t="shared" si="10"/>
        <v>1</v>
      </c>
    </row>
    <row r="53" spans="2:8" x14ac:dyDescent="0.2">
      <c r="B53">
        <v>37</v>
      </c>
      <c r="C53" s="25">
        <f t="shared" si="3"/>
        <v>22503235.743727311</v>
      </c>
      <c r="D53" s="25">
        <f t="shared" si="1"/>
        <v>164457.71559866643</v>
      </c>
      <c r="E53" s="25">
        <f t="shared" si="2"/>
        <v>247059.69363023347</v>
      </c>
      <c r="F53" s="42">
        <f t="shared" si="4"/>
        <v>411517.40922889987</v>
      </c>
      <c r="G53" s="25">
        <f t="shared" si="5"/>
        <v>22338778.028128646</v>
      </c>
      <c r="H53" s="3">
        <f t="shared" si="10"/>
        <v>1</v>
      </c>
    </row>
    <row r="54" spans="2:8" x14ac:dyDescent="0.2">
      <c r="B54">
        <v>38</v>
      </c>
      <c r="C54" s="25">
        <f t="shared" si="3"/>
        <v>22338778.028128646</v>
      </c>
      <c r="D54" s="25">
        <f t="shared" si="1"/>
        <v>166263.2725102879</v>
      </c>
      <c r="E54" s="25">
        <f t="shared" si="2"/>
        <v>245254.13671861199</v>
      </c>
      <c r="F54" s="42">
        <f t="shared" si="4"/>
        <v>411517.40922889987</v>
      </c>
      <c r="G54" s="25">
        <f t="shared" si="5"/>
        <v>22172514.75561836</v>
      </c>
      <c r="H54" s="3">
        <f t="shared" si="10"/>
        <v>1</v>
      </c>
    </row>
    <row r="55" spans="2:8" x14ac:dyDescent="0.2">
      <c r="B55">
        <v>39</v>
      </c>
      <c r="C55" s="25">
        <f t="shared" si="3"/>
        <v>22172514.75561836</v>
      </c>
      <c r="D55" s="25">
        <f t="shared" si="1"/>
        <v>168088.65236392969</v>
      </c>
      <c r="E55" s="25">
        <f t="shared" si="2"/>
        <v>243428.75686497017</v>
      </c>
      <c r="F55" s="42">
        <f t="shared" si="4"/>
        <v>411517.40922889987</v>
      </c>
      <c r="G55" s="25">
        <f t="shared" si="5"/>
        <v>22004426.10325443</v>
      </c>
      <c r="H55" s="3">
        <f t="shared" si="10"/>
        <v>1</v>
      </c>
    </row>
    <row r="56" spans="2:8" x14ac:dyDescent="0.2">
      <c r="B56">
        <v>40</v>
      </c>
      <c r="C56" s="25">
        <f t="shared" si="3"/>
        <v>22004426.10325443</v>
      </c>
      <c r="D56" s="25">
        <f t="shared" si="1"/>
        <v>169934.07279273745</v>
      </c>
      <c r="E56" s="25">
        <f t="shared" si="2"/>
        <v>241583.33643616247</v>
      </c>
      <c r="F56" s="42">
        <f t="shared" si="4"/>
        <v>411517.40922889992</v>
      </c>
      <c r="G56" s="25">
        <f t="shared" si="5"/>
        <v>21834492.030461691</v>
      </c>
      <c r="H56" s="3">
        <f t="shared" si="10"/>
        <v>1</v>
      </c>
    </row>
    <row r="57" spans="2:8" x14ac:dyDescent="0.2">
      <c r="B57">
        <v>41</v>
      </c>
      <c r="C57" s="25">
        <f t="shared" si="3"/>
        <v>21834492.030461691</v>
      </c>
      <c r="D57" s="25">
        <f t="shared" si="1"/>
        <v>171799.75381921892</v>
      </c>
      <c r="E57" s="25">
        <f t="shared" si="2"/>
        <v>239717.65540968094</v>
      </c>
      <c r="F57" s="42">
        <f t="shared" si="4"/>
        <v>411517.40922889987</v>
      </c>
      <c r="G57" s="25">
        <f t="shared" si="5"/>
        <v>21662692.276642472</v>
      </c>
      <c r="H57" s="3">
        <f t="shared" si="10"/>
        <v>1</v>
      </c>
    </row>
    <row r="58" spans="2:8" x14ac:dyDescent="0.2">
      <c r="B58">
        <v>42</v>
      </c>
      <c r="C58" s="25">
        <f t="shared" si="3"/>
        <v>21662692.276642472</v>
      </c>
      <c r="D58" s="25">
        <f t="shared" si="1"/>
        <v>173685.9178814764</v>
      </c>
      <c r="E58" s="25">
        <f t="shared" si="2"/>
        <v>237831.49134742352</v>
      </c>
      <c r="F58" s="42">
        <f t="shared" si="4"/>
        <v>411517.40922889992</v>
      </c>
      <c r="G58" s="25">
        <f t="shared" si="5"/>
        <v>21489006.358760994</v>
      </c>
      <c r="H58" s="3">
        <f t="shared" si="10"/>
        <v>1</v>
      </c>
    </row>
    <row r="59" spans="2:8" x14ac:dyDescent="0.2">
      <c r="B59">
        <v>43</v>
      </c>
      <c r="C59" s="25">
        <f t="shared" si="3"/>
        <v>21489006.358760994</v>
      </c>
      <c r="D59" s="25">
        <f t="shared" si="1"/>
        <v>175592.78985972708</v>
      </c>
      <c r="E59" s="25">
        <f t="shared" si="2"/>
        <v>235924.61936917281</v>
      </c>
      <c r="F59" s="42">
        <f t="shared" si="4"/>
        <v>411517.40922889987</v>
      </c>
      <c r="G59" s="25">
        <f t="shared" si="5"/>
        <v>21313413.568901267</v>
      </c>
      <c r="H59" s="3">
        <f t="shared" si="10"/>
        <v>1</v>
      </c>
    </row>
    <row r="60" spans="2:8" x14ac:dyDescent="0.2">
      <c r="B60">
        <v>44</v>
      </c>
      <c r="C60" s="25">
        <f t="shared" si="3"/>
        <v>21313413.568901267</v>
      </c>
      <c r="D60" s="25">
        <f t="shared" si="1"/>
        <v>177520.59710311497</v>
      </c>
      <c r="E60" s="25">
        <f t="shared" si="2"/>
        <v>233996.81212578501</v>
      </c>
      <c r="F60" s="42">
        <f t="shared" si="4"/>
        <v>411517.40922889998</v>
      </c>
      <c r="G60" s="25">
        <f t="shared" si="5"/>
        <v>21135892.971798152</v>
      </c>
      <c r="H60" s="3">
        <f t="shared" si="10"/>
        <v>1</v>
      </c>
    </row>
    <row r="61" spans="2:8" x14ac:dyDescent="0.2">
      <c r="B61">
        <v>45</v>
      </c>
      <c r="C61" s="25">
        <f t="shared" si="3"/>
        <v>21135892.971798152</v>
      </c>
      <c r="D61" s="25">
        <f t="shared" si="1"/>
        <v>179469.56945681642</v>
      </c>
      <c r="E61" s="25">
        <f t="shared" si="2"/>
        <v>232047.83977208345</v>
      </c>
      <c r="F61" s="42">
        <f t="shared" si="4"/>
        <v>411517.40922889987</v>
      </c>
      <c r="G61" s="25">
        <f t="shared" si="5"/>
        <v>20956423.402341336</v>
      </c>
      <c r="H61" s="3">
        <f t="shared" si="10"/>
        <v>1</v>
      </c>
    </row>
    <row r="62" spans="2:8" x14ac:dyDescent="0.2">
      <c r="B62">
        <v>46</v>
      </c>
      <c r="C62" s="25">
        <f t="shared" si="3"/>
        <v>20956423.402341336</v>
      </c>
      <c r="D62" s="25">
        <f t="shared" si="1"/>
        <v>181439.93928944421</v>
      </c>
      <c r="E62" s="25">
        <f t="shared" si="2"/>
        <v>230077.46993945565</v>
      </c>
      <c r="F62" s="42">
        <f t="shared" si="4"/>
        <v>411517.40922889987</v>
      </c>
      <c r="G62" s="25">
        <f t="shared" si="5"/>
        <v>20774983.463051893</v>
      </c>
      <c r="H62" s="3">
        <f t="shared" si="10"/>
        <v>1</v>
      </c>
    </row>
    <row r="63" spans="2:8" x14ac:dyDescent="0.2">
      <c r="B63">
        <v>47</v>
      </c>
      <c r="C63" s="25">
        <f t="shared" si="3"/>
        <v>20774983.463051893</v>
      </c>
      <c r="D63" s="25">
        <f t="shared" si="1"/>
        <v>183431.94152075145</v>
      </c>
      <c r="E63" s="25">
        <f t="shared" si="2"/>
        <v>228085.46770814847</v>
      </c>
      <c r="F63" s="42">
        <f t="shared" si="4"/>
        <v>411517.40922889992</v>
      </c>
      <c r="G63" s="25">
        <f t="shared" si="5"/>
        <v>20591551.521531142</v>
      </c>
      <c r="H63" s="3">
        <f t="shared" si="10"/>
        <v>1</v>
      </c>
    </row>
    <row r="64" spans="2:8" x14ac:dyDescent="0.2">
      <c r="B64">
        <v>48</v>
      </c>
      <c r="C64" s="25">
        <f t="shared" si="3"/>
        <v>20591551.521531142</v>
      </c>
      <c r="D64" s="25">
        <f t="shared" si="1"/>
        <v>185445.81364964065</v>
      </c>
      <c r="E64" s="25">
        <f t="shared" si="2"/>
        <v>226071.59557925924</v>
      </c>
      <c r="F64" s="42">
        <f t="shared" si="4"/>
        <v>411517.40922889987</v>
      </c>
      <c r="G64" s="25">
        <f t="shared" si="5"/>
        <v>20406105.707881503</v>
      </c>
      <c r="H64" s="3">
        <f t="shared" si="10"/>
        <v>1</v>
      </c>
    </row>
    <row r="65" spans="2:8" x14ac:dyDescent="0.2">
      <c r="B65">
        <v>49</v>
      </c>
      <c r="C65" s="25">
        <f t="shared" si="3"/>
        <v>20406105.707881503</v>
      </c>
      <c r="D65" s="25">
        <f t="shared" si="1"/>
        <v>187481.79578247954</v>
      </c>
      <c r="E65" s="25">
        <f t="shared" si="2"/>
        <v>224035.61344642035</v>
      </c>
      <c r="F65" s="42">
        <f t="shared" si="4"/>
        <v>411517.40922889987</v>
      </c>
      <c r="G65" s="25">
        <f t="shared" si="5"/>
        <v>20218623.912099022</v>
      </c>
      <c r="H65" s="3">
        <f t="shared" si="10"/>
        <v>1</v>
      </c>
    </row>
    <row r="66" spans="2:8" x14ac:dyDescent="0.2">
      <c r="B66">
        <v>50</v>
      </c>
      <c r="C66" s="25">
        <f t="shared" si="3"/>
        <v>20218623.912099022</v>
      </c>
      <c r="D66" s="25">
        <f t="shared" si="1"/>
        <v>189540.13066172804</v>
      </c>
      <c r="E66" s="25">
        <f t="shared" si="2"/>
        <v>221977.27856717186</v>
      </c>
      <c r="F66" s="42">
        <f t="shared" si="4"/>
        <v>411517.40922889987</v>
      </c>
      <c r="G66" s="25">
        <f t="shared" si="5"/>
        <v>20029083.781437293</v>
      </c>
      <c r="H66" s="3">
        <f t="shared" si="10"/>
        <v>1</v>
      </c>
    </row>
    <row r="67" spans="2:8" x14ac:dyDescent="0.2">
      <c r="B67">
        <v>51</v>
      </c>
      <c r="C67" s="25">
        <f t="shared" si="3"/>
        <v>20029083.781437293</v>
      </c>
      <c r="D67" s="25">
        <f t="shared" si="1"/>
        <v>191621.06369487967</v>
      </c>
      <c r="E67" s="25">
        <f t="shared" si="2"/>
        <v>219896.34553402019</v>
      </c>
      <c r="F67" s="42">
        <f t="shared" si="4"/>
        <v>411517.40922889987</v>
      </c>
      <c r="G67" s="25">
        <f t="shared" si="5"/>
        <v>19837462.717742413</v>
      </c>
      <c r="H67" s="3">
        <f t="shared" si="10"/>
        <v>1</v>
      </c>
    </row>
    <row r="68" spans="2:8" x14ac:dyDescent="0.2">
      <c r="B68">
        <v>52</v>
      </c>
      <c r="C68" s="25">
        <f t="shared" si="3"/>
        <v>19837462.717742413</v>
      </c>
      <c r="D68" s="25">
        <f t="shared" si="1"/>
        <v>193724.8429837205</v>
      </c>
      <c r="E68" s="25">
        <f t="shared" si="2"/>
        <v>217792.56624517939</v>
      </c>
      <c r="F68" s="42">
        <f t="shared" si="4"/>
        <v>411517.40922889987</v>
      </c>
      <c r="G68" s="25">
        <f t="shared" si="5"/>
        <v>19643737.874758694</v>
      </c>
      <c r="H68" s="3">
        <f t="shared" si="10"/>
        <v>1</v>
      </c>
    </row>
    <row r="69" spans="2:8" x14ac:dyDescent="0.2">
      <c r="B69">
        <v>53</v>
      </c>
      <c r="C69" s="25">
        <f t="shared" si="3"/>
        <v>19643737.874758694</v>
      </c>
      <c r="D69" s="25">
        <f t="shared" si="1"/>
        <v>195851.7193539094</v>
      </c>
      <c r="E69" s="25">
        <f t="shared" si="2"/>
        <v>215665.68987499049</v>
      </c>
      <c r="F69" s="42">
        <f t="shared" si="4"/>
        <v>411517.40922889987</v>
      </c>
      <c r="G69" s="25">
        <f t="shared" si="5"/>
        <v>19447886.155404784</v>
      </c>
      <c r="H69" s="3">
        <f t="shared" si="10"/>
        <v>1</v>
      </c>
    </row>
    <row r="70" spans="2:8" x14ac:dyDescent="0.2">
      <c r="B70">
        <v>54</v>
      </c>
      <c r="C70" s="25">
        <f t="shared" si="3"/>
        <v>19447886.155404784</v>
      </c>
      <c r="D70" s="25">
        <f t="shared" si="1"/>
        <v>198001.9463848829</v>
      </c>
      <c r="E70" s="25">
        <f t="shared" si="2"/>
        <v>213515.46284401699</v>
      </c>
      <c r="F70" s="42">
        <f t="shared" si="4"/>
        <v>411517.40922889987</v>
      </c>
      <c r="G70" s="25">
        <f t="shared" si="5"/>
        <v>19249884.209019899</v>
      </c>
      <c r="H70" s="3">
        <f t="shared" si="10"/>
        <v>1</v>
      </c>
    </row>
    <row r="71" spans="2:8" x14ac:dyDescent="0.2">
      <c r="B71">
        <v>55</v>
      </c>
      <c r="C71" s="25">
        <f t="shared" si="3"/>
        <v>19249884.209019899</v>
      </c>
      <c r="D71" s="25">
        <f t="shared" si="1"/>
        <v>200175.78044008868</v>
      </c>
      <c r="E71" s="25">
        <f t="shared" si="2"/>
        <v>211341.62878881121</v>
      </c>
      <c r="F71" s="42">
        <f t="shared" si="4"/>
        <v>411517.40922889987</v>
      </c>
      <c r="G71" s="25">
        <f t="shared" si="5"/>
        <v>19049708.428579811</v>
      </c>
      <c r="H71" s="3">
        <f t="shared" si="10"/>
        <v>1</v>
      </c>
    </row>
    <row r="72" spans="2:8" x14ac:dyDescent="0.2">
      <c r="B72">
        <v>56</v>
      </c>
      <c r="C72" s="25">
        <f t="shared" si="3"/>
        <v>19049708.428579811</v>
      </c>
      <c r="D72" s="25">
        <f t="shared" si="1"/>
        <v>202373.48069755084</v>
      </c>
      <c r="E72" s="25">
        <f t="shared" si="2"/>
        <v>209143.92853134905</v>
      </c>
      <c r="F72" s="42">
        <f t="shared" si="4"/>
        <v>411517.40922889987</v>
      </c>
      <c r="G72" s="25">
        <f t="shared" si="5"/>
        <v>18847334.947882261</v>
      </c>
      <c r="H72" s="3">
        <f t="shared" si="10"/>
        <v>1</v>
      </c>
    </row>
    <row r="73" spans="2:8" x14ac:dyDescent="0.2">
      <c r="B73">
        <v>57</v>
      </c>
      <c r="C73" s="25">
        <f t="shared" si="3"/>
        <v>18847334.947882261</v>
      </c>
      <c r="D73" s="25">
        <f t="shared" si="1"/>
        <v>204595.30918077054</v>
      </c>
      <c r="E73" s="25">
        <f t="shared" si="2"/>
        <v>206922.10004812936</v>
      </c>
      <c r="F73" s="42">
        <f t="shared" si="4"/>
        <v>411517.40922889987</v>
      </c>
      <c r="G73" s="25">
        <f t="shared" si="5"/>
        <v>18642739.638701491</v>
      </c>
      <c r="H73" s="3">
        <f t="shared" si="10"/>
        <v>1</v>
      </c>
    </row>
    <row r="74" spans="2:8" x14ac:dyDescent="0.2">
      <c r="B74">
        <v>58</v>
      </c>
      <c r="C74" s="25">
        <f t="shared" si="3"/>
        <v>18642739.638701491</v>
      </c>
      <c r="D74" s="25">
        <f t="shared" si="1"/>
        <v>206841.53078996617</v>
      </c>
      <c r="E74" s="25">
        <f t="shared" si="2"/>
        <v>204675.87843893369</v>
      </c>
      <c r="F74" s="42">
        <f t="shared" si="4"/>
        <v>411517.40922889987</v>
      </c>
      <c r="G74" s="25">
        <f t="shared" si="5"/>
        <v>18435898.107911523</v>
      </c>
      <c r="H74" s="3">
        <f t="shared" si="10"/>
        <v>1</v>
      </c>
    </row>
    <row r="75" spans="2:8" x14ac:dyDescent="0.2">
      <c r="B75">
        <v>59</v>
      </c>
      <c r="C75" s="25">
        <f t="shared" si="3"/>
        <v>18435898.107911523</v>
      </c>
      <c r="D75" s="25">
        <f t="shared" si="1"/>
        <v>209112.41333365647</v>
      </c>
      <c r="E75" s="25">
        <f t="shared" si="2"/>
        <v>202404.99589524342</v>
      </c>
      <c r="F75" s="42">
        <f t="shared" si="4"/>
        <v>411517.40922889987</v>
      </c>
      <c r="G75" s="25">
        <f t="shared" si="5"/>
        <v>18226785.694577865</v>
      </c>
      <c r="H75" s="3">
        <f t="shared" si="10"/>
        <v>1</v>
      </c>
    </row>
    <row r="76" spans="2:8" x14ac:dyDescent="0.2">
      <c r="B76">
        <v>60</v>
      </c>
      <c r="C76" s="25">
        <f t="shared" si="3"/>
        <v>18226785.694577865</v>
      </c>
      <c r="D76" s="25">
        <f t="shared" si="1"/>
        <v>211408.22756059017</v>
      </c>
      <c r="E76" s="25">
        <f t="shared" si="2"/>
        <v>200109.18166830976</v>
      </c>
      <c r="F76" s="42">
        <f t="shared" si="4"/>
        <v>411517.40922889992</v>
      </c>
      <c r="G76" s="25">
        <f t="shared" si="5"/>
        <v>18015377.467017274</v>
      </c>
      <c r="H76" s="3">
        <f t="shared" si="10"/>
        <v>1</v>
      </c>
    </row>
    <row r="77" spans="2:8" x14ac:dyDescent="0.2">
      <c r="B77">
        <v>61</v>
      </c>
      <c r="C77" s="25">
        <f t="shared" si="3"/>
        <v>18015377.467017274</v>
      </c>
      <c r="D77" s="25">
        <f t="shared" si="1"/>
        <v>213729.24719202647</v>
      </c>
      <c r="E77" s="25">
        <f t="shared" si="2"/>
        <v>197788.16203687346</v>
      </c>
      <c r="F77" s="42">
        <f t="shared" si="4"/>
        <v>411517.40922889992</v>
      </c>
      <c r="G77" s="25">
        <f t="shared" si="5"/>
        <v>17801648.219825249</v>
      </c>
      <c r="H77" s="3">
        <f t="shared" si="10"/>
        <v>1</v>
      </c>
    </row>
    <row r="78" spans="2:8" x14ac:dyDescent="0.2">
      <c r="B78">
        <v>62</v>
      </c>
      <c r="C78" s="25">
        <f t="shared" si="3"/>
        <v>17801648.219825249</v>
      </c>
      <c r="D78" s="25">
        <f t="shared" si="1"/>
        <v>216075.74895436974</v>
      </c>
      <c r="E78" s="25">
        <f t="shared" si="2"/>
        <v>195441.66027453015</v>
      </c>
      <c r="F78" s="42">
        <f t="shared" si="4"/>
        <v>411517.40922889987</v>
      </c>
      <c r="G78" s="25">
        <f t="shared" si="5"/>
        <v>17585572.470870879</v>
      </c>
      <c r="H78" s="3">
        <f t="shared" si="10"/>
        <v>1</v>
      </c>
    </row>
    <row r="79" spans="2:8" x14ac:dyDescent="0.2">
      <c r="B79">
        <v>63</v>
      </c>
      <c r="C79" s="25">
        <f t="shared" si="3"/>
        <v>17585572.470870879</v>
      </c>
      <c r="D79" s="25">
        <f t="shared" si="1"/>
        <v>218448.01261216259</v>
      </c>
      <c r="E79" s="25">
        <f t="shared" si="2"/>
        <v>193069.3966167373</v>
      </c>
      <c r="F79" s="42">
        <f t="shared" si="4"/>
        <v>411517.40922889987</v>
      </c>
      <c r="G79" s="25">
        <f t="shared" si="5"/>
        <v>17367124.458258715</v>
      </c>
      <c r="H79" s="3">
        <f t="shared" si="10"/>
        <v>1</v>
      </c>
    </row>
    <row r="80" spans="2:8" x14ac:dyDescent="0.2">
      <c r="B80">
        <v>64</v>
      </c>
      <c r="C80" s="25">
        <f t="shared" si="3"/>
        <v>17367124.458258715</v>
      </c>
      <c r="D80" s="25">
        <f t="shared" si="1"/>
        <v>220846.32100144116</v>
      </c>
      <c r="E80" s="25">
        <f t="shared" si="2"/>
        <v>190671.08822745876</v>
      </c>
      <c r="F80" s="42">
        <f t="shared" si="4"/>
        <v>411517.40922889992</v>
      </c>
      <c r="G80" s="25">
        <f t="shared" si="5"/>
        <v>17146278.137257274</v>
      </c>
      <c r="H80" s="3">
        <f t="shared" si="10"/>
        <v>1</v>
      </c>
    </row>
    <row r="81" spans="2:8" x14ac:dyDescent="0.2">
      <c r="B81">
        <v>65</v>
      </c>
      <c r="C81" s="25">
        <f t="shared" si="3"/>
        <v>17146278.137257274</v>
      </c>
      <c r="D81" s="25">
        <f t="shared" si="1"/>
        <v>223270.9600634565</v>
      </c>
      <c r="E81" s="25">
        <f t="shared" si="2"/>
        <v>188246.44916544345</v>
      </c>
      <c r="F81" s="42">
        <f t="shared" si="4"/>
        <v>411517.40922889998</v>
      </c>
      <c r="G81" s="25">
        <f t="shared" si="5"/>
        <v>16923007.177193817</v>
      </c>
      <c r="H81" s="3">
        <f t="shared" si="10"/>
        <v>1</v>
      </c>
    </row>
    <row r="82" spans="2:8" x14ac:dyDescent="0.2">
      <c r="B82">
        <v>66</v>
      </c>
      <c r="C82" s="25">
        <f t="shared" si="3"/>
        <v>16923007.177193817</v>
      </c>
      <c r="D82" s="25">
        <f t="shared" ref="D82:D136" si="14">IF($C$8=1,$B$3/$B$7*H82,PPMT($B$11,B82,$B$7,-$B$3,0,0))</f>
        <v>225722.21887876623</v>
      </c>
      <c r="E82" s="25">
        <f t="shared" ref="E82:E136" si="15">IF($C$8=1,C82*$B$11*H82,IPMT($B$11,B82,$B$7,-$B$3,0,0))</f>
        <v>185795.19035013369</v>
      </c>
      <c r="F82" s="42">
        <f t="shared" si="4"/>
        <v>411517.40922889992</v>
      </c>
      <c r="G82" s="25">
        <f t="shared" si="5"/>
        <v>16697284.95831505</v>
      </c>
      <c r="H82" s="3">
        <f t="shared" si="10"/>
        <v>1</v>
      </c>
    </row>
    <row r="83" spans="2:8" x14ac:dyDescent="0.2">
      <c r="B83">
        <v>67</v>
      </c>
      <c r="C83" s="25">
        <f t="shared" ref="C83:C136" si="16">+G82</f>
        <v>16697284.95831505</v>
      </c>
      <c r="D83" s="25">
        <f t="shared" si="14"/>
        <v>228200.38970170089</v>
      </c>
      <c r="E83" s="25">
        <f t="shared" si="15"/>
        <v>183317.01952719904</v>
      </c>
      <c r="F83" s="42">
        <f t="shared" ref="F83:F136" si="17">+E83+D83</f>
        <v>411517.40922889992</v>
      </c>
      <c r="G83" s="25">
        <f t="shared" ref="G83:G136" si="18">+C83-D83</f>
        <v>16469084.568613349</v>
      </c>
      <c r="H83" s="3">
        <f t="shared" si="10"/>
        <v>1</v>
      </c>
    </row>
    <row r="84" spans="2:8" x14ac:dyDescent="0.2">
      <c r="B84">
        <v>68</v>
      </c>
      <c r="C84" s="25">
        <f t="shared" si="16"/>
        <v>16469084.568613349</v>
      </c>
      <c r="D84" s="25">
        <f t="shared" si="14"/>
        <v>230705.76799520772</v>
      </c>
      <c r="E84" s="25">
        <f t="shared" si="15"/>
        <v>180811.64123369218</v>
      </c>
      <c r="F84" s="42">
        <f t="shared" si="17"/>
        <v>411517.40922889987</v>
      </c>
      <c r="G84" s="25">
        <f t="shared" si="18"/>
        <v>16238378.80061814</v>
      </c>
      <c r="H84" s="3">
        <f t="shared" si="10"/>
        <v>1</v>
      </c>
    </row>
    <row r="85" spans="2:8" x14ac:dyDescent="0.2">
      <c r="B85">
        <v>69</v>
      </c>
      <c r="C85" s="25">
        <f t="shared" si="16"/>
        <v>16238378.80061814</v>
      </c>
      <c r="D85" s="25">
        <f t="shared" si="14"/>
        <v>233238.65246607814</v>
      </c>
      <c r="E85" s="25">
        <f t="shared" si="15"/>
        <v>178278.75676282169</v>
      </c>
      <c r="F85" s="42">
        <f t="shared" si="17"/>
        <v>411517.40922889987</v>
      </c>
      <c r="G85" s="25">
        <f t="shared" si="18"/>
        <v>16005140.148152063</v>
      </c>
      <c r="H85" s="3">
        <f t="shared" si="10"/>
        <v>1</v>
      </c>
    </row>
    <row r="86" spans="2:8" x14ac:dyDescent="0.2">
      <c r="B86">
        <v>70</v>
      </c>
      <c r="C86" s="25">
        <f t="shared" si="16"/>
        <v>16005140.148152063</v>
      </c>
      <c r="D86" s="25">
        <f t="shared" si="14"/>
        <v>235799.34510056124</v>
      </c>
      <c r="E86" s="25">
        <f t="shared" si="15"/>
        <v>175718.06412833871</v>
      </c>
      <c r="F86" s="42">
        <f t="shared" si="17"/>
        <v>411517.40922889998</v>
      </c>
      <c r="G86" s="25">
        <f t="shared" si="18"/>
        <v>15769340.803051502</v>
      </c>
      <c r="H86" s="3">
        <f t="shared" si="10"/>
        <v>1</v>
      </c>
    </row>
    <row r="87" spans="2:8" x14ac:dyDescent="0.2">
      <c r="B87">
        <v>71</v>
      </c>
      <c r="C87" s="25">
        <f t="shared" si="16"/>
        <v>15769340.803051502</v>
      </c>
      <c r="D87" s="25">
        <f t="shared" si="14"/>
        <v>238388.15120036813</v>
      </c>
      <c r="E87" s="25">
        <f t="shared" si="15"/>
        <v>173129.2580285318</v>
      </c>
      <c r="F87" s="42">
        <f t="shared" si="17"/>
        <v>411517.40922889992</v>
      </c>
      <c r="G87" s="25">
        <f t="shared" si="18"/>
        <v>15530952.651851133</v>
      </c>
      <c r="H87" s="3">
        <f t="shared" si="10"/>
        <v>1</v>
      </c>
    </row>
    <row r="88" spans="2:8" x14ac:dyDescent="0.2">
      <c r="B88">
        <v>72</v>
      </c>
      <c r="C88" s="25">
        <f t="shared" si="16"/>
        <v>15530952.651851133</v>
      </c>
      <c r="D88" s="25">
        <f t="shared" si="14"/>
        <v>241005.3794190725</v>
      </c>
      <c r="E88" s="25">
        <f t="shared" si="15"/>
        <v>170512.02980982739</v>
      </c>
      <c r="F88" s="42">
        <f t="shared" si="17"/>
        <v>411517.40922889987</v>
      </c>
      <c r="G88" s="25">
        <f t="shared" si="18"/>
        <v>15289947.272432061</v>
      </c>
      <c r="H88" s="3">
        <f t="shared" si="10"/>
        <v>1</v>
      </c>
    </row>
    <row r="89" spans="2:8" x14ac:dyDescent="0.2">
      <c r="B89">
        <v>73</v>
      </c>
      <c r="C89" s="25">
        <f t="shared" si="16"/>
        <v>15289947.272432061</v>
      </c>
      <c r="D89" s="25">
        <f t="shared" si="14"/>
        <v>243651.34179890991</v>
      </c>
      <c r="E89" s="25">
        <f t="shared" si="15"/>
        <v>167866.06742999001</v>
      </c>
      <c r="F89" s="42">
        <f t="shared" si="17"/>
        <v>411517.40922889992</v>
      </c>
      <c r="G89" s="25">
        <f t="shared" si="18"/>
        <v>15046295.930633152</v>
      </c>
      <c r="H89" s="3">
        <f t="shared" si="10"/>
        <v>1</v>
      </c>
    </row>
    <row r="90" spans="2:8" x14ac:dyDescent="0.2">
      <c r="B90">
        <v>74</v>
      </c>
      <c r="C90" s="25">
        <f t="shared" si="16"/>
        <v>15046295.930633152</v>
      </c>
      <c r="D90" s="25">
        <f t="shared" si="14"/>
        <v>246326.35380798127</v>
      </c>
      <c r="E90" s="25">
        <f t="shared" si="15"/>
        <v>165191.05542091865</v>
      </c>
      <c r="F90" s="42">
        <f t="shared" si="17"/>
        <v>411517.40922889992</v>
      </c>
      <c r="G90" s="25">
        <f t="shared" si="18"/>
        <v>14799969.57682517</v>
      </c>
      <c r="H90" s="3">
        <f t="shared" si="10"/>
        <v>1</v>
      </c>
    </row>
    <row r="91" spans="2:8" x14ac:dyDescent="0.2">
      <c r="B91">
        <v>75</v>
      </c>
      <c r="C91" s="25">
        <f t="shared" si="16"/>
        <v>14799969.57682517</v>
      </c>
      <c r="D91" s="25">
        <f t="shared" si="14"/>
        <v>249030.73437786516</v>
      </c>
      <c r="E91" s="25">
        <f t="shared" si="15"/>
        <v>162486.67485103477</v>
      </c>
      <c r="F91" s="42">
        <f t="shared" si="17"/>
        <v>411517.40922889992</v>
      </c>
      <c r="G91" s="25">
        <f t="shared" si="18"/>
        <v>14550938.842447305</v>
      </c>
      <c r="H91" s="3">
        <f t="shared" si="10"/>
        <v>1</v>
      </c>
    </row>
    <row r="92" spans="2:8" x14ac:dyDescent="0.2">
      <c r="B92">
        <v>76</v>
      </c>
      <c r="C92" s="25">
        <f t="shared" si="16"/>
        <v>14550938.842447305</v>
      </c>
      <c r="D92" s="25">
        <f t="shared" si="14"/>
        <v>251764.80594164264</v>
      </c>
      <c r="E92" s="25">
        <f t="shared" si="15"/>
        <v>159752.60328725723</v>
      </c>
      <c r="F92" s="42">
        <f t="shared" si="17"/>
        <v>411517.40922889987</v>
      </c>
      <c r="G92" s="25">
        <f t="shared" si="18"/>
        <v>14299174.036505662</v>
      </c>
      <c r="H92" s="3">
        <f t="shared" si="10"/>
        <v>1</v>
      </c>
    </row>
    <row r="93" spans="2:8" x14ac:dyDescent="0.2">
      <c r="B93">
        <v>77</v>
      </c>
      <c r="C93" s="25">
        <f t="shared" si="16"/>
        <v>14299174.036505662</v>
      </c>
      <c r="D93" s="25">
        <f t="shared" si="14"/>
        <v>254528.89447234012</v>
      </c>
      <c r="E93" s="25">
        <f t="shared" si="15"/>
        <v>156988.5147565598</v>
      </c>
      <c r="F93" s="42">
        <f t="shared" si="17"/>
        <v>411517.40922889992</v>
      </c>
      <c r="G93" s="25">
        <f t="shared" si="18"/>
        <v>14044645.142033322</v>
      </c>
      <c r="H93" s="3">
        <f t="shared" si="10"/>
        <v>1</v>
      </c>
    </row>
    <row r="94" spans="2:8" x14ac:dyDescent="0.2">
      <c r="B94">
        <v>78</v>
      </c>
      <c r="C94" s="25">
        <f t="shared" si="16"/>
        <v>14044645.142033322</v>
      </c>
      <c r="D94" s="25">
        <f t="shared" si="14"/>
        <v>257323.32952179329</v>
      </c>
      <c r="E94" s="25">
        <f t="shared" si="15"/>
        <v>154194.07970710666</v>
      </c>
      <c r="F94" s="42">
        <f t="shared" si="17"/>
        <v>411517.40922889998</v>
      </c>
      <c r="G94" s="25">
        <f t="shared" si="18"/>
        <v>13787321.812511528</v>
      </c>
      <c r="H94" s="3">
        <f t="shared" si="10"/>
        <v>1</v>
      </c>
    </row>
    <row r="95" spans="2:8" x14ac:dyDescent="0.2">
      <c r="B95">
        <v>79</v>
      </c>
      <c r="C95" s="25">
        <f t="shared" si="16"/>
        <v>13787321.812511528</v>
      </c>
      <c r="D95" s="25">
        <f t="shared" si="14"/>
        <v>260148.44425993873</v>
      </c>
      <c r="E95" s="25">
        <f t="shared" si="15"/>
        <v>151368.9649689612</v>
      </c>
      <c r="F95" s="42">
        <f t="shared" si="17"/>
        <v>411517.40922889992</v>
      </c>
      <c r="G95" s="25">
        <f t="shared" si="18"/>
        <v>13527173.36825159</v>
      </c>
      <c r="H95" s="3">
        <f t="shared" si="10"/>
        <v>1</v>
      </c>
    </row>
    <row r="96" spans="2:8" x14ac:dyDescent="0.2">
      <c r="B96">
        <v>80</v>
      </c>
      <c r="C96" s="25">
        <f t="shared" si="16"/>
        <v>13527173.36825159</v>
      </c>
      <c r="D96" s="25">
        <f t="shared" si="14"/>
        <v>263004.57551453653</v>
      </c>
      <c r="E96" s="25">
        <f t="shared" si="15"/>
        <v>148512.83371436337</v>
      </c>
      <c r="F96" s="42">
        <f t="shared" si="17"/>
        <v>411517.40922889987</v>
      </c>
      <c r="G96" s="25">
        <f t="shared" si="18"/>
        <v>13264168.792737054</v>
      </c>
      <c r="H96" s="3">
        <f t="shared" si="10"/>
        <v>1</v>
      </c>
    </row>
    <row r="97" spans="2:8" x14ac:dyDescent="0.2">
      <c r="B97">
        <v>81</v>
      </c>
      <c r="C97" s="25">
        <f t="shared" si="16"/>
        <v>13264168.792737054</v>
      </c>
      <c r="D97" s="25">
        <f t="shared" si="14"/>
        <v>265892.06381132884</v>
      </c>
      <c r="E97" s="25">
        <f t="shared" si="15"/>
        <v>145625.34541757105</v>
      </c>
      <c r="F97" s="42">
        <f t="shared" si="17"/>
        <v>411517.40922889987</v>
      </c>
      <c r="G97" s="25">
        <f t="shared" si="18"/>
        <v>12998276.728925725</v>
      </c>
      <c r="H97" s="3">
        <f t="shared" si="10"/>
        <v>1</v>
      </c>
    </row>
    <row r="98" spans="2:8" x14ac:dyDescent="0.2">
      <c r="B98">
        <v>82</v>
      </c>
      <c r="C98" s="25">
        <f t="shared" si="16"/>
        <v>12998276.728925725</v>
      </c>
      <c r="D98" s="25">
        <f t="shared" si="14"/>
        <v>268811.2534146395</v>
      </c>
      <c r="E98" s="25">
        <f t="shared" si="15"/>
        <v>142706.15581426039</v>
      </c>
      <c r="F98" s="42">
        <f t="shared" si="17"/>
        <v>411517.40922889987</v>
      </c>
      <c r="G98" s="25">
        <f t="shared" si="18"/>
        <v>12729465.475511085</v>
      </c>
      <c r="H98" s="3">
        <f t="shared" si="10"/>
        <v>1</v>
      </c>
    </row>
    <row r="99" spans="2:8" x14ac:dyDescent="0.2">
      <c r="B99">
        <v>83</v>
      </c>
      <c r="C99" s="25">
        <f t="shared" si="16"/>
        <v>12729465.475511085</v>
      </c>
      <c r="D99" s="25">
        <f t="shared" si="14"/>
        <v>271762.49236841942</v>
      </c>
      <c r="E99" s="25">
        <f t="shared" si="15"/>
        <v>139754.91686048053</v>
      </c>
      <c r="F99" s="42">
        <f t="shared" si="17"/>
        <v>411517.40922889998</v>
      </c>
      <c r="G99" s="25">
        <f t="shared" si="18"/>
        <v>12457702.983142667</v>
      </c>
      <c r="H99" s="3">
        <f t="shared" si="10"/>
        <v>1</v>
      </c>
    </row>
    <row r="100" spans="2:8" x14ac:dyDescent="0.2">
      <c r="B100">
        <v>84</v>
      </c>
      <c r="C100" s="25">
        <f t="shared" si="16"/>
        <v>12457702.983142667</v>
      </c>
      <c r="D100" s="25">
        <f t="shared" si="14"/>
        <v>274746.13253774238</v>
      </c>
      <c r="E100" s="25">
        <f t="shared" si="15"/>
        <v>136771.27669115752</v>
      </c>
      <c r="F100" s="42">
        <f t="shared" si="17"/>
        <v>411517.40922889987</v>
      </c>
      <c r="G100" s="25">
        <f t="shared" si="18"/>
        <v>12182956.850604923</v>
      </c>
      <c r="H100" s="3">
        <f t="shared" si="10"/>
        <v>1</v>
      </c>
    </row>
    <row r="101" spans="2:8" x14ac:dyDescent="0.2">
      <c r="B101">
        <v>85</v>
      </c>
      <c r="C101" s="25">
        <f t="shared" si="16"/>
        <v>12182956.850604923</v>
      </c>
      <c r="D101" s="25">
        <f t="shared" si="14"/>
        <v>277762.52965075697</v>
      </c>
      <c r="E101" s="25">
        <f t="shared" si="15"/>
        <v>133754.87957814289</v>
      </c>
      <c r="F101" s="42">
        <f t="shared" si="17"/>
        <v>411517.40922889987</v>
      </c>
      <c r="G101" s="25">
        <f t="shared" si="18"/>
        <v>11905194.320954166</v>
      </c>
      <c r="H101" s="3">
        <f t="shared" ref="H101:H136" si="19">+IF($B$7&gt;=B101,1,0)</f>
        <v>1</v>
      </c>
    </row>
    <row r="102" spans="2:8" x14ac:dyDescent="0.2">
      <c r="B102">
        <v>86</v>
      </c>
      <c r="C102" s="25">
        <f t="shared" si="16"/>
        <v>11905194.320954166</v>
      </c>
      <c r="D102" s="25">
        <f t="shared" si="14"/>
        <v>280812.04334109835</v>
      </c>
      <c r="E102" s="25">
        <f t="shared" si="15"/>
        <v>130705.36588780156</v>
      </c>
      <c r="F102" s="42">
        <f t="shared" si="17"/>
        <v>411517.40922889992</v>
      </c>
      <c r="G102" s="25">
        <f t="shared" si="18"/>
        <v>11624382.277613068</v>
      </c>
      <c r="H102" s="3">
        <f t="shared" si="19"/>
        <v>1</v>
      </c>
    </row>
    <row r="103" spans="2:8" x14ac:dyDescent="0.2">
      <c r="B103">
        <v>87</v>
      </c>
      <c r="C103" s="25">
        <f t="shared" si="16"/>
        <v>11624382.277613068</v>
      </c>
      <c r="D103" s="25">
        <f t="shared" si="14"/>
        <v>283895.03719076596</v>
      </c>
      <c r="E103" s="25">
        <f t="shared" si="15"/>
        <v>127622.37203813397</v>
      </c>
      <c r="F103" s="42">
        <f t="shared" si="17"/>
        <v>411517.40922889992</v>
      </c>
      <c r="G103" s="25">
        <f t="shared" si="18"/>
        <v>11340487.240422303</v>
      </c>
      <c r="H103" s="3">
        <f t="shared" si="19"/>
        <v>1</v>
      </c>
    </row>
    <row r="104" spans="2:8" x14ac:dyDescent="0.2">
      <c r="B104">
        <v>88</v>
      </c>
      <c r="C104" s="25">
        <f t="shared" si="16"/>
        <v>11340487.240422303</v>
      </c>
      <c r="D104" s="25">
        <f t="shared" si="14"/>
        <v>287011.87877347233</v>
      </c>
      <c r="E104" s="25">
        <f t="shared" si="15"/>
        <v>124505.53045542755</v>
      </c>
      <c r="F104" s="42">
        <f t="shared" si="17"/>
        <v>411517.40922889987</v>
      </c>
      <c r="G104" s="25">
        <f t="shared" si="18"/>
        <v>11053475.36164883</v>
      </c>
      <c r="H104" s="3">
        <f t="shared" si="19"/>
        <v>1</v>
      </c>
    </row>
    <row r="105" spans="2:8" x14ac:dyDescent="0.2">
      <c r="B105">
        <v>89</v>
      </c>
      <c r="C105" s="25">
        <f t="shared" si="16"/>
        <v>11053475.36164883</v>
      </c>
      <c r="D105" s="25">
        <f t="shared" si="14"/>
        <v>290162.93969846744</v>
      </c>
      <c r="E105" s="25">
        <f t="shared" si="15"/>
        <v>121354.46953043247</v>
      </c>
      <c r="F105" s="42">
        <f t="shared" si="17"/>
        <v>411517.40922889992</v>
      </c>
      <c r="G105" s="25">
        <f t="shared" si="18"/>
        <v>10763312.421950363</v>
      </c>
      <c r="H105" s="3">
        <f t="shared" si="19"/>
        <v>1</v>
      </c>
    </row>
    <row r="106" spans="2:8" x14ac:dyDescent="0.2">
      <c r="B106">
        <v>90</v>
      </c>
      <c r="C106" s="25">
        <f t="shared" si="16"/>
        <v>10763312.421950363</v>
      </c>
      <c r="D106" s="25">
        <f t="shared" si="14"/>
        <v>293348.59565484402</v>
      </c>
      <c r="E106" s="25">
        <f t="shared" si="15"/>
        <v>118168.81357405588</v>
      </c>
      <c r="F106" s="42">
        <f t="shared" si="17"/>
        <v>411517.40922889987</v>
      </c>
      <c r="G106" s="25">
        <f t="shared" si="18"/>
        <v>10469963.826295519</v>
      </c>
      <c r="H106" s="3">
        <f t="shared" si="19"/>
        <v>1</v>
      </c>
    </row>
    <row r="107" spans="2:8" x14ac:dyDescent="0.2">
      <c r="B107">
        <v>91</v>
      </c>
      <c r="C107" s="25">
        <f t="shared" si="16"/>
        <v>10469963.826295519</v>
      </c>
      <c r="D107" s="25">
        <f t="shared" si="14"/>
        <v>296569.22645632987</v>
      </c>
      <c r="E107" s="25">
        <f t="shared" si="15"/>
        <v>114948.18277257006</v>
      </c>
      <c r="F107" s="42">
        <f t="shared" si="17"/>
        <v>411517.40922889992</v>
      </c>
      <c r="G107" s="25">
        <f t="shared" si="18"/>
        <v>10173394.59983919</v>
      </c>
      <c r="H107" s="3">
        <f t="shared" si="19"/>
        <v>1</v>
      </c>
    </row>
    <row r="108" spans="2:8" x14ac:dyDescent="0.2">
      <c r="B108">
        <v>92</v>
      </c>
      <c r="C108" s="25">
        <f t="shared" si="16"/>
        <v>10173394.59983919</v>
      </c>
      <c r="D108" s="25">
        <f t="shared" si="14"/>
        <v>299825.21608657134</v>
      </c>
      <c r="E108" s="25">
        <f t="shared" si="15"/>
        <v>111692.19314232856</v>
      </c>
      <c r="F108" s="42">
        <f t="shared" si="17"/>
        <v>411517.40922889987</v>
      </c>
      <c r="G108" s="25">
        <f t="shared" si="18"/>
        <v>9873569.383752618</v>
      </c>
      <c r="H108" s="3">
        <f t="shared" si="19"/>
        <v>1</v>
      </c>
    </row>
    <row r="109" spans="2:8" x14ac:dyDescent="0.2">
      <c r="B109">
        <v>93</v>
      </c>
      <c r="C109" s="25">
        <f t="shared" si="16"/>
        <v>9873569.383752618</v>
      </c>
      <c r="D109" s="25">
        <f t="shared" si="14"/>
        <v>303116.95274491457</v>
      </c>
      <c r="E109" s="25">
        <f t="shared" si="15"/>
        <v>108400.45648398531</v>
      </c>
      <c r="F109" s="42">
        <f t="shared" si="17"/>
        <v>411517.40922889987</v>
      </c>
      <c r="G109" s="25">
        <f t="shared" si="18"/>
        <v>9570452.4310077038</v>
      </c>
      <c r="H109" s="3">
        <f t="shared" si="19"/>
        <v>1</v>
      </c>
    </row>
    <row r="110" spans="2:8" x14ac:dyDescent="0.2">
      <c r="B110">
        <v>94</v>
      </c>
      <c r="C110" s="25">
        <f t="shared" si="16"/>
        <v>9570452.4310077038</v>
      </c>
      <c r="D110" s="25">
        <f t="shared" si="14"/>
        <v>306444.82889268873</v>
      </c>
      <c r="E110" s="25">
        <f t="shared" si="15"/>
        <v>105072.58033621118</v>
      </c>
      <c r="F110" s="42">
        <f t="shared" si="17"/>
        <v>411517.40922889992</v>
      </c>
      <c r="G110" s="25">
        <f t="shared" si="18"/>
        <v>9264007.6021150146</v>
      </c>
      <c r="H110" s="3">
        <f t="shared" si="19"/>
        <v>1</v>
      </c>
    </row>
    <row r="111" spans="2:8" x14ac:dyDescent="0.2">
      <c r="B111">
        <v>95</v>
      </c>
      <c r="C111" s="25">
        <f t="shared" si="16"/>
        <v>9264007.6021150146</v>
      </c>
      <c r="D111" s="25">
        <f t="shared" si="14"/>
        <v>309809.24129999778</v>
      </c>
      <c r="E111" s="25">
        <f t="shared" si="15"/>
        <v>101708.16792890213</v>
      </c>
      <c r="F111" s="42">
        <f t="shared" si="17"/>
        <v>411517.40922889992</v>
      </c>
      <c r="G111" s="25">
        <f t="shared" si="18"/>
        <v>8954198.3608150166</v>
      </c>
      <c r="H111" s="3">
        <f t="shared" si="19"/>
        <v>1</v>
      </c>
    </row>
    <row r="112" spans="2:8" x14ac:dyDescent="0.2">
      <c r="B112">
        <v>96</v>
      </c>
      <c r="C112" s="25">
        <f t="shared" si="16"/>
        <v>8954198.3608150166</v>
      </c>
      <c r="D112" s="25">
        <f t="shared" si="14"/>
        <v>313210.59109302599</v>
      </c>
      <c r="E112" s="25">
        <f t="shared" si="15"/>
        <v>98306.818135873895</v>
      </c>
      <c r="F112" s="42">
        <f t="shared" si="17"/>
        <v>411517.40922889987</v>
      </c>
      <c r="G112" s="25">
        <f t="shared" si="18"/>
        <v>8640987.7697219905</v>
      </c>
      <c r="H112" s="3">
        <f t="shared" si="19"/>
        <v>1</v>
      </c>
    </row>
    <row r="113" spans="2:8" x14ac:dyDescent="0.2">
      <c r="B113">
        <v>97</v>
      </c>
      <c r="C113" s="25">
        <f t="shared" si="16"/>
        <v>8640987.7697219905</v>
      </c>
      <c r="D113" s="25">
        <f t="shared" si="14"/>
        <v>316649.28380186268</v>
      </c>
      <c r="E113" s="25">
        <f t="shared" si="15"/>
        <v>94868.125427037245</v>
      </c>
      <c r="F113" s="42">
        <f t="shared" si="17"/>
        <v>411517.40922889992</v>
      </c>
      <c r="G113" s="25">
        <f t="shared" si="18"/>
        <v>8324338.4859201275</v>
      </c>
      <c r="H113" s="3">
        <f t="shared" si="19"/>
        <v>1</v>
      </c>
    </row>
    <row r="114" spans="2:8" x14ac:dyDescent="0.2">
      <c r="B114">
        <v>98</v>
      </c>
      <c r="C114" s="25">
        <f t="shared" si="16"/>
        <v>8324338.4859201275</v>
      </c>
      <c r="D114" s="25">
        <f t="shared" si="14"/>
        <v>320125.72940885177</v>
      </c>
      <c r="E114" s="25">
        <f t="shared" si="15"/>
        <v>91391.679820048113</v>
      </c>
      <c r="F114" s="42">
        <f t="shared" si="17"/>
        <v>411517.40922889987</v>
      </c>
      <c r="G114" s="25">
        <f t="shared" si="18"/>
        <v>8004212.7565112757</v>
      </c>
      <c r="H114" s="3">
        <f t="shared" si="19"/>
        <v>1</v>
      </c>
    </row>
    <row r="115" spans="2:8" x14ac:dyDescent="0.2">
      <c r="B115">
        <v>99</v>
      </c>
      <c r="C115" s="25">
        <f t="shared" si="16"/>
        <v>8004212.7565112757</v>
      </c>
      <c r="D115" s="25">
        <f t="shared" si="14"/>
        <v>323640.34239747288</v>
      </c>
      <c r="E115" s="25">
        <f t="shared" si="15"/>
        <v>87877.066831427044</v>
      </c>
      <c r="F115" s="42">
        <f t="shared" si="17"/>
        <v>411517.40922889992</v>
      </c>
      <c r="G115" s="25">
        <f t="shared" si="18"/>
        <v>7680572.4141138028</v>
      </c>
      <c r="H115" s="3">
        <f t="shared" si="19"/>
        <v>1</v>
      </c>
    </row>
    <row r="116" spans="2:8" x14ac:dyDescent="0.2">
      <c r="B116">
        <v>100</v>
      </c>
      <c r="C116" s="25">
        <f t="shared" si="16"/>
        <v>7680572.4141138028</v>
      </c>
      <c r="D116" s="25">
        <f t="shared" si="14"/>
        <v>327193.54180175811</v>
      </c>
      <c r="E116" s="25">
        <f t="shared" si="15"/>
        <v>84323.867427141755</v>
      </c>
      <c r="F116" s="42">
        <f t="shared" si="17"/>
        <v>411517.40922889987</v>
      </c>
      <c r="G116" s="25">
        <f t="shared" si="18"/>
        <v>7353378.8723120447</v>
      </c>
      <c r="H116" s="3">
        <f t="shared" si="19"/>
        <v>1</v>
      </c>
    </row>
    <row r="117" spans="2:8" x14ac:dyDescent="0.2">
      <c r="B117">
        <v>101</v>
      </c>
      <c r="C117" s="25">
        <f t="shared" si="16"/>
        <v>7353378.8723120447</v>
      </c>
      <c r="D117" s="25">
        <f t="shared" si="14"/>
        <v>330785.75125625252</v>
      </c>
      <c r="E117" s="25">
        <f t="shared" si="15"/>
        <v>80731.657972647357</v>
      </c>
      <c r="F117" s="42">
        <f t="shared" si="17"/>
        <v>411517.40922889987</v>
      </c>
      <c r="G117" s="25">
        <f t="shared" si="18"/>
        <v>7022593.1210557921</v>
      </c>
      <c r="H117" s="3">
        <f t="shared" si="19"/>
        <v>1</v>
      </c>
    </row>
    <row r="118" spans="2:8" x14ac:dyDescent="0.2">
      <c r="B118">
        <v>102</v>
      </c>
      <c r="C118" s="25">
        <f t="shared" si="16"/>
        <v>7022593.1210557921</v>
      </c>
      <c r="D118" s="25">
        <f t="shared" si="14"/>
        <v>334417.39904652181</v>
      </c>
      <c r="E118" s="25">
        <f t="shared" si="15"/>
        <v>77100.010182378057</v>
      </c>
      <c r="F118" s="42">
        <f t="shared" si="17"/>
        <v>411517.40922889987</v>
      </c>
      <c r="G118" s="25">
        <f t="shared" si="18"/>
        <v>6688175.7220092705</v>
      </c>
      <c r="H118" s="3">
        <f t="shared" si="19"/>
        <v>1</v>
      </c>
    </row>
    <row r="119" spans="2:8" x14ac:dyDescent="0.2">
      <c r="B119">
        <v>103</v>
      </c>
      <c r="C119" s="25">
        <f t="shared" si="16"/>
        <v>6688175.7220092705</v>
      </c>
      <c r="D119" s="25">
        <f t="shared" si="14"/>
        <v>338088.91816021566</v>
      </c>
      <c r="E119" s="25">
        <f t="shared" si="15"/>
        <v>73428.491068684205</v>
      </c>
      <c r="F119" s="42">
        <f t="shared" si="17"/>
        <v>411517.40922889987</v>
      </c>
      <c r="G119" s="25">
        <f t="shared" si="18"/>
        <v>6350086.8038490545</v>
      </c>
      <c r="H119" s="3">
        <f t="shared" si="19"/>
        <v>1</v>
      </c>
    </row>
    <row r="120" spans="2:8" x14ac:dyDescent="0.2">
      <c r="B120">
        <v>104</v>
      </c>
      <c r="C120" s="25">
        <f t="shared" si="16"/>
        <v>6350086.8038490545</v>
      </c>
      <c r="D120" s="25">
        <f t="shared" si="14"/>
        <v>341800.74633869098</v>
      </c>
      <c r="E120" s="25">
        <f t="shared" si="15"/>
        <v>69716.6628902089</v>
      </c>
      <c r="F120" s="42">
        <f t="shared" si="17"/>
        <v>411517.40922889987</v>
      </c>
      <c r="G120" s="25">
        <f t="shared" si="18"/>
        <v>6008286.0575103639</v>
      </c>
      <c r="H120" s="3">
        <f t="shared" si="19"/>
        <v>1</v>
      </c>
    </row>
    <row r="121" spans="2:8" x14ac:dyDescent="0.2">
      <c r="B121">
        <v>105</v>
      </c>
      <c r="C121" s="25">
        <f t="shared" si="16"/>
        <v>6008286.0575103639</v>
      </c>
      <c r="D121" s="25">
        <f t="shared" si="14"/>
        <v>345553.32612920227</v>
      </c>
      <c r="E121" s="25">
        <f t="shared" si="15"/>
        <v>65964.083099697629</v>
      </c>
      <c r="F121" s="42">
        <f t="shared" si="17"/>
        <v>411517.40922889987</v>
      </c>
      <c r="G121" s="25">
        <f t="shared" si="18"/>
        <v>5662732.7313811611</v>
      </c>
      <c r="H121" s="3">
        <f t="shared" si="19"/>
        <v>1</v>
      </c>
    </row>
    <row r="122" spans="2:8" x14ac:dyDescent="0.2">
      <c r="B122">
        <v>106</v>
      </c>
      <c r="C122" s="25">
        <f t="shared" si="16"/>
        <v>5662732.7313811611</v>
      </c>
      <c r="D122" s="25">
        <f t="shared" si="14"/>
        <v>349347.10493766476</v>
      </c>
      <c r="E122" s="25">
        <f t="shared" si="15"/>
        <v>62170.304291235108</v>
      </c>
      <c r="F122" s="42">
        <f t="shared" si="17"/>
        <v>411517.40922889987</v>
      </c>
      <c r="G122" s="25">
        <f t="shared" si="18"/>
        <v>5313385.626443496</v>
      </c>
      <c r="H122" s="3">
        <f t="shared" si="19"/>
        <v>1</v>
      </c>
    </row>
    <row r="123" spans="2:8" x14ac:dyDescent="0.2">
      <c r="B123">
        <v>107</v>
      </c>
      <c r="C123" s="25">
        <f t="shared" si="16"/>
        <v>5313385.626443496</v>
      </c>
      <c r="D123" s="25">
        <f t="shared" si="14"/>
        <v>353182.53508199711</v>
      </c>
      <c r="E123" s="25">
        <f t="shared" si="15"/>
        <v>58334.874146902781</v>
      </c>
      <c r="F123" s="42">
        <f t="shared" si="17"/>
        <v>411517.40922889987</v>
      </c>
      <c r="G123" s="25">
        <f t="shared" si="18"/>
        <v>4960203.0913614985</v>
      </c>
      <c r="H123" s="3">
        <f t="shared" si="19"/>
        <v>1</v>
      </c>
    </row>
    <row r="124" spans="2:8" x14ac:dyDescent="0.2">
      <c r="B124">
        <v>108</v>
      </c>
      <c r="C124" s="25">
        <f t="shared" si="16"/>
        <v>4960203.0913614985</v>
      </c>
      <c r="D124" s="25">
        <f t="shared" si="14"/>
        <v>357060.07384604932</v>
      </c>
      <c r="E124" s="25">
        <f t="shared" si="15"/>
        <v>54457.335382850579</v>
      </c>
      <c r="F124" s="42">
        <f t="shared" si="17"/>
        <v>411517.40922889987</v>
      </c>
      <c r="G124" s="25">
        <f t="shared" si="18"/>
        <v>4603143.0175154489</v>
      </c>
      <c r="H124" s="3">
        <f t="shared" si="19"/>
        <v>1</v>
      </c>
    </row>
    <row r="125" spans="2:8" x14ac:dyDescent="0.2">
      <c r="B125">
        <v>109</v>
      </c>
      <c r="C125" s="25">
        <f t="shared" si="16"/>
        <v>4603143.0175154489</v>
      </c>
      <c r="D125" s="25">
        <f t="shared" si="14"/>
        <v>360980.18353412306</v>
      </c>
      <c r="E125" s="25">
        <f t="shared" si="15"/>
        <v>50537.225694776811</v>
      </c>
      <c r="F125" s="42">
        <f t="shared" si="17"/>
        <v>411517.40922889987</v>
      </c>
      <c r="G125" s="25">
        <f t="shared" si="18"/>
        <v>4242162.8339813258</v>
      </c>
      <c r="H125" s="3">
        <f t="shared" si="19"/>
        <v>1</v>
      </c>
    </row>
    <row r="126" spans="2:8" x14ac:dyDescent="0.2">
      <c r="B126">
        <v>110</v>
      </c>
      <c r="C126" s="25">
        <f t="shared" si="16"/>
        <v>4242162.8339813258</v>
      </c>
      <c r="D126" s="25">
        <f t="shared" si="14"/>
        <v>364943.33152609068</v>
      </c>
      <c r="E126" s="25">
        <f t="shared" si="15"/>
        <v>46574.077702809234</v>
      </c>
      <c r="F126" s="42">
        <f t="shared" si="17"/>
        <v>411517.40922889992</v>
      </c>
      <c r="G126" s="25">
        <f t="shared" si="18"/>
        <v>3877219.502455235</v>
      </c>
      <c r="H126" s="3">
        <f t="shared" si="19"/>
        <v>1</v>
      </c>
    </row>
    <row r="127" spans="2:8" x14ac:dyDescent="0.2">
      <c r="B127">
        <v>111</v>
      </c>
      <c r="C127" s="25">
        <f t="shared" si="16"/>
        <v>3877219.502455235</v>
      </c>
      <c r="D127" s="25">
        <f t="shared" si="14"/>
        <v>368949.99033311865</v>
      </c>
      <c r="E127" s="25">
        <f t="shared" si="15"/>
        <v>42567.418895781229</v>
      </c>
      <c r="F127" s="42">
        <f t="shared" si="17"/>
        <v>411517.40922889987</v>
      </c>
      <c r="G127" s="25">
        <f t="shared" si="18"/>
        <v>3508269.5121221165</v>
      </c>
      <c r="H127" s="3">
        <f t="shared" si="19"/>
        <v>1</v>
      </c>
    </row>
    <row r="128" spans="2:8" x14ac:dyDescent="0.2">
      <c r="B128">
        <v>112</v>
      </c>
      <c r="C128" s="25">
        <f t="shared" si="16"/>
        <v>3508269.5121221165</v>
      </c>
      <c r="D128" s="25">
        <f t="shared" si="14"/>
        <v>373000.63765400392</v>
      </c>
      <c r="E128" s="25">
        <f t="shared" si="15"/>
        <v>38516.771574895982</v>
      </c>
      <c r="F128" s="42">
        <f t="shared" si="17"/>
        <v>411517.40922889992</v>
      </c>
      <c r="G128" s="25">
        <f t="shared" si="18"/>
        <v>3135268.8744681124</v>
      </c>
      <c r="H128" s="3">
        <f t="shared" si="19"/>
        <v>1</v>
      </c>
    </row>
    <row r="129" spans="2:8" x14ac:dyDescent="0.2">
      <c r="B129">
        <v>113</v>
      </c>
      <c r="C129" s="25">
        <f t="shared" si="16"/>
        <v>3135268.8744681124</v>
      </c>
      <c r="D129" s="25">
        <f t="shared" si="14"/>
        <v>377095.7564321275</v>
      </c>
      <c r="E129" s="25">
        <f t="shared" si="15"/>
        <v>34421.652796772381</v>
      </c>
      <c r="F129" s="42">
        <f t="shared" si="17"/>
        <v>411517.40922889987</v>
      </c>
      <c r="G129" s="25">
        <f t="shared" si="18"/>
        <v>2758173.1180359847</v>
      </c>
      <c r="H129" s="3">
        <f t="shared" si="19"/>
        <v>1</v>
      </c>
    </row>
    <row r="130" spans="2:8" x14ac:dyDescent="0.2">
      <c r="B130">
        <v>114</v>
      </c>
      <c r="C130" s="25">
        <f t="shared" si="16"/>
        <v>2758173.1180359847</v>
      </c>
      <c r="D130" s="25">
        <f t="shared" si="14"/>
        <v>381235.83491303452</v>
      </c>
      <c r="E130" s="25">
        <f t="shared" si="15"/>
        <v>30281.574315865386</v>
      </c>
      <c r="F130" s="42">
        <f t="shared" si="17"/>
        <v>411517.40922889992</v>
      </c>
      <c r="G130" s="25">
        <f t="shared" si="18"/>
        <v>2376937.2831229502</v>
      </c>
      <c r="H130" s="3">
        <f t="shared" si="19"/>
        <v>1</v>
      </c>
    </row>
    <row r="131" spans="2:8" x14ac:dyDescent="0.2">
      <c r="B131">
        <v>115</v>
      </c>
      <c r="C131" s="25">
        <f t="shared" si="16"/>
        <v>2376937.2831229502</v>
      </c>
      <c r="D131" s="25">
        <f t="shared" si="14"/>
        <v>385421.36670264543</v>
      </c>
      <c r="E131" s="25">
        <f t="shared" si="15"/>
        <v>26096.042526254409</v>
      </c>
      <c r="F131" s="42">
        <f t="shared" si="17"/>
        <v>411517.40922889987</v>
      </c>
      <c r="G131" s="25">
        <f t="shared" si="18"/>
        <v>1991515.9164203047</v>
      </c>
      <c r="H131" s="3">
        <f t="shared" si="19"/>
        <v>1</v>
      </c>
    </row>
    <row r="132" spans="2:8" x14ac:dyDescent="0.2">
      <c r="B132">
        <v>116</v>
      </c>
      <c r="C132" s="25">
        <f t="shared" si="16"/>
        <v>1991515.9164203047</v>
      </c>
      <c r="D132" s="25">
        <f t="shared" si="14"/>
        <v>389652.85082610731</v>
      </c>
      <c r="E132" s="25">
        <f t="shared" si="15"/>
        <v>21864.558402792558</v>
      </c>
      <c r="F132" s="42">
        <f t="shared" si="17"/>
        <v>411517.40922889987</v>
      </c>
      <c r="G132" s="25">
        <f t="shared" si="18"/>
        <v>1601863.0655941973</v>
      </c>
      <c r="H132" s="3">
        <f t="shared" si="19"/>
        <v>1</v>
      </c>
    </row>
    <row r="133" spans="2:8" x14ac:dyDescent="0.2">
      <c r="B133">
        <v>117</v>
      </c>
      <c r="C133" s="25">
        <f t="shared" si="16"/>
        <v>1601863.0655941973</v>
      </c>
      <c r="D133" s="25">
        <f t="shared" si="14"/>
        <v>393930.79178729013</v>
      </c>
      <c r="E133" s="25">
        <f t="shared" si="15"/>
        <v>17586.617441609706</v>
      </c>
      <c r="F133" s="42">
        <f t="shared" si="17"/>
        <v>411517.40922889987</v>
      </c>
      <c r="G133" s="25">
        <f t="shared" si="18"/>
        <v>1207932.2738069072</v>
      </c>
      <c r="H133" s="3">
        <f t="shared" si="19"/>
        <v>1</v>
      </c>
    </row>
    <row r="134" spans="2:8" x14ac:dyDescent="0.2">
      <c r="B134">
        <v>118</v>
      </c>
      <c r="C134" s="25">
        <f t="shared" si="16"/>
        <v>1207932.2738069072</v>
      </c>
      <c r="D134" s="25">
        <f t="shared" si="14"/>
        <v>398255.69962893747</v>
      </c>
      <c r="E134" s="25">
        <f t="shared" si="15"/>
        <v>13261.709599962443</v>
      </c>
      <c r="F134" s="42">
        <f t="shared" si="17"/>
        <v>411517.40922889992</v>
      </c>
      <c r="G134" s="25">
        <f t="shared" si="18"/>
        <v>809676.57417796971</v>
      </c>
      <c r="H134" s="3">
        <f t="shared" si="19"/>
        <v>1</v>
      </c>
    </row>
    <row r="135" spans="2:8" x14ac:dyDescent="0.2">
      <c r="B135">
        <v>119</v>
      </c>
      <c r="C135" s="25">
        <f t="shared" si="16"/>
        <v>809676.57417796971</v>
      </c>
      <c r="D135" s="25">
        <f t="shared" si="14"/>
        <v>402628.08999347629</v>
      </c>
      <c r="E135" s="25">
        <f t="shared" si="15"/>
        <v>8889.3192354235889</v>
      </c>
      <c r="F135" s="42">
        <f t="shared" si="17"/>
        <v>411517.40922889987</v>
      </c>
      <c r="G135" s="25">
        <f t="shared" si="18"/>
        <v>407048.48418449343</v>
      </c>
      <c r="H135" s="3">
        <f t="shared" si="19"/>
        <v>1</v>
      </c>
    </row>
    <row r="136" spans="2:8" x14ac:dyDescent="0.2">
      <c r="B136">
        <v>120</v>
      </c>
      <c r="C136" s="25">
        <f t="shared" si="16"/>
        <v>407048.48418449343</v>
      </c>
      <c r="D136" s="25">
        <f t="shared" si="14"/>
        <v>407048.48418449581</v>
      </c>
      <c r="E136" s="25">
        <f t="shared" si="15"/>
        <v>4468.925044404099</v>
      </c>
      <c r="F136" s="42">
        <f t="shared" si="17"/>
        <v>411517.40922889992</v>
      </c>
      <c r="G136" s="25">
        <f t="shared" si="18"/>
        <v>-2.3865140974521637E-9</v>
      </c>
      <c r="H136" s="3">
        <f t="shared" si="19"/>
        <v>1</v>
      </c>
    </row>
    <row r="137" spans="2:8" x14ac:dyDescent="0.2">
      <c r="C137" s="25"/>
      <c r="D137" s="25"/>
      <c r="E137" s="25"/>
      <c r="F137" s="42"/>
      <c r="G137" s="25"/>
      <c r="H137" s="3"/>
    </row>
    <row r="138" spans="2:8" x14ac:dyDescent="0.2">
      <c r="C138" s="25"/>
      <c r="D138" s="25"/>
      <c r="E138" s="25"/>
      <c r="F138" s="42"/>
      <c r="G138" s="25"/>
      <c r="H138" s="3"/>
    </row>
    <row r="139" spans="2:8" x14ac:dyDescent="0.2">
      <c r="C139" s="25"/>
      <c r="D139" s="25"/>
      <c r="E139" s="25"/>
      <c r="F139" s="42"/>
      <c r="G139" s="25"/>
      <c r="H139" s="3"/>
    </row>
    <row r="140" spans="2:8" x14ac:dyDescent="0.2">
      <c r="C140" s="25"/>
      <c r="D140" s="25"/>
      <c r="E140" s="25"/>
      <c r="F140" s="42"/>
      <c r="G140" s="25"/>
      <c r="H140" s="3"/>
    </row>
    <row r="141" spans="2:8" x14ac:dyDescent="0.2">
      <c r="C141" s="25"/>
      <c r="D141" s="25"/>
      <c r="E141" s="25"/>
      <c r="F141" s="42"/>
      <c r="G141" s="25"/>
      <c r="H141" s="3"/>
    </row>
  </sheetData>
  <dataValidations count="2">
    <dataValidation type="list" allowBlank="1" showInputMessage="1" showErrorMessage="1" sqref="B6">
      <formula1>lista_plazo</formula1>
    </dataValidation>
    <dataValidation type="list" allowBlank="1" showInputMessage="1" showErrorMessage="1" sqref="B4">
      <formula1>lista_per_amortizacion</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F10:G21"/>
  <sheetViews>
    <sheetView workbookViewId="0">
      <selection activeCell="F19" sqref="F19"/>
    </sheetView>
  </sheetViews>
  <sheetFormatPr baseColWidth="10" defaultRowHeight="12.75" x14ac:dyDescent="0.2"/>
  <sheetData>
    <row r="10" spans="6:6" x14ac:dyDescent="0.2">
      <c r="F10" s="99">
        <v>170000</v>
      </c>
    </row>
    <row r="11" spans="6:6" x14ac:dyDescent="0.2">
      <c r="F11" s="100" t="s">
        <v>188</v>
      </c>
    </row>
    <row r="12" spans="6:6" x14ac:dyDescent="0.2">
      <c r="F12" s="100" t="s">
        <v>189</v>
      </c>
    </row>
    <row r="13" spans="6:6" x14ac:dyDescent="0.2">
      <c r="F13" s="100" t="s">
        <v>190</v>
      </c>
    </row>
    <row r="14" spans="6:6" x14ac:dyDescent="0.2">
      <c r="F14" s="100" t="s">
        <v>191</v>
      </c>
    </row>
    <row r="17" spans="6:7" x14ac:dyDescent="0.2">
      <c r="F17">
        <v>170</v>
      </c>
      <c r="G17">
        <f>+F17/2</f>
        <v>85</v>
      </c>
    </row>
    <row r="18" spans="6:7" x14ac:dyDescent="0.2">
      <c r="F18">
        <v>210</v>
      </c>
      <c r="G18">
        <f>+F18/3</f>
        <v>70</v>
      </c>
    </row>
    <row r="19" spans="6:7" x14ac:dyDescent="0.2">
      <c r="F19">
        <v>240</v>
      </c>
      <c r="G19">
        <f>+F19/4</f>
        <v>60</v>
      </c>
    </row>
    <row r="20" spans="6:7" x14ac:dyDescent="0.2">
      <c r="F20">
        <v>260</v>
      </c>
      <c r="G20">
        <f>+F20/5</f>
        <v>52</v>
      </c>
    </row>
    <row r="21" spans="6:7" x14ac:dyDescent="0.2">
      <c r="F21">
        <v>280</v>
      </c>
      <c r="G21">
        <f>+F21/6</f>
        <v>46.666666666666664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76"/>
  <sheetViews>
    <sheetView topLeftCell="A14" workbookViewId="0">
      <selection activeCell="B31" sqref="B31"/>
    </sheetView>
  </sheetViews>
  <sheetFormatPr baseColWidth="10" defaultRowHeight="12.75" x14ac:dyDescent="0.2"/>
  <cols>
    <col min="1" max="1" width="2.7109375" style="108" customWidth="1"/>
    <col min="2" max="2" width="57.5703125" style="128" bestFit="1" customWidth="1"/>
    <col min="3" max="3" width="9.28515625" style="108" bestFit="1" customWidth="1"/>
    <col min="4" max="4" width="16.28515625" style="129" bestFit="1" customWidth="1"/>
    <col min="5" max="5" width="16.85546875" style="129" bestFit="1" customWidth="1"/>
    <col min="6" max="6" width="15.42578125" style="108" bestFit="1" customWidth="1"/>
    <col min="7" max="256" width="11.42578125" style="108"/>
    <col min="257" max="257" width="2.7109375" style="108" customWidth="1"/>
    <col min="258" max="258" width="57.5703125" style="108" bestFit="1" customWidth="1"/>
    <col min="259" max="259" width="9.28515625" style="108" bestFit="1" customWidth="1"/>
    <col min="260" max="260" width="16.28515625" style="108" bestFit="1" customWidth="1"/>
    <col min="261" max="261" width="16.85546875" style="108" bestFit="1" customWidth="1"/>
    <col min="262" max="262" width="15.42578125" style="108" bestFit="1" customWidth="1"/>
    <col min="263" max="512" width="11.42578125" style="108"/>
    <col min="513" max="513" width="2.7109375" style="108" customWidth="1"/>
    <col min="514" max="514" width="57.5703125" style="108" bestFit="1" customWidth="1"/>
    <col min="515" max="515" width="9.28515625" style="108" bestFit="1" customWidth="1"/>
    <col min="516" max="516" width="16.28515625" style="108" bestFit="1" customWidth="1"/>
    <col min="517" max="517" width="16.85546875" style="108" bestFit="1" customWidth="1"/>
    <col min="518" max="518" width="15.42578125" style="108" bestFit="1" customWidth="1"/>
    <col min="519" max="768" width="11.42578125" style="108"/>
    <col min="769" max="769" width="2.7109375" style="108" customWidth="1"/>
    <col min="770" max="770" width="57.5703125" style="108" bestFit="1" customWidth="1"/>
    <col min="771" max="771" width="9.28515625" style="108" bestFit="1" customWidth="1"/>
    <col min="772" max="772" width="16.28515625" style="108" bestFit="1" customWidth="1"/>
    <col min="773" max="773" width="16.85546875" style="108" bestFit="1" customWidth="1"/>
    <col min="774" max="774" width="15.42578125" style="108" bestFit="1" customWidth="1"/>
    <col min="775" max="1024" width="11.42578125" style="108"/>
    <col min="1025" max="1025" width="2.7109375" style="108" customWidth="1"/>
    <col min="1026" max="1026" width="57.5703125" style="108" bestFit="1" customWidth="1"/>
    <col min="1027" max="1027" width="9.28515625" style="108" bestFit="1" customWidth="1"/>
    <col min="1028" max="1028" width="16.28515625" style="108" bestFit="1" customWidth="1"/>
    <col min="1029" max="1029" width="16.85546875" style="108" bestFit="1" customWidth="1"/>
    <col min="1030" max="1030" width="15.42578125" style="108" bestFit="1" customWidth="1"/>
    <col min="1031" max="1280" width="11.42578125" style="108"/>
    <col min="1281" max="1281" width="2.7109375" style="108" customWidth="1"/>
    <col min="1282" max="1282" width="57.5703125" style="108" bestFit="1" customWidth="1"/>
    <col min="1283" max="1283" width="9.28515625" style="108" bestFit="1" customWidth="1"/>
    <col min="1284" max="1284" width="16.28515625" style="108" bestFit="1" customWidth="1"/>
    <col min="1285" max="1285" width="16.85546875" style="108" bestFit="1" customWidth="1"/>
    <col min="1286" max="1286" width="15.42578125" style="108" bestFit="1" customWidth="1"/>
    <col min="1287" max="1536" width="11.42578125" style="108"/>
    <col min="1537" max="1537" width="2.7109375" style="108" customWidth="1"/>
    <col min="1538" max="1538" width="57.5703125" style="108" bestFit="1" customWidth="1"/>
    <col min="1539" max="1539" width="9.28515625" style="108" bestFit="1" customWidth="1"/>
    <col min="1540" max="1540" width="16.28515625" style="108" bestFit="1" customWidth="1"/>
    <col min="1541" max="1541" width="16.85546875" style="108" bestFit="1" customWidth="1"/>
    <col min="1542" max="1542" width="15.42578125" style="108" bestFit="1" customWidth="1"/>
    <col min="1543" max="1792" width="11.42578125" style="108"/>
    <col min="1793" max="1793" width="2.7109375" style="108" customWidth="1"/>
    <col min="1794" max="1794" width="57.5703125" style="108" bestFit="1" customWidth="1"/>
    <col min="1795" max="1795" width="9.28515625" style="108" bestFit="1" customWidth="1"/>
    <col min="1796" max="1796" width="16.28515625" style="108" bestFit="1" customWidth="1"/>
    <col min="1797" max="1797" width="16.85546875" style="108" bestFit="1" customWidth="1"/>
    <col min="1798" max="1798" width="15.42578125" style="108" bestFit="1" customWidth="1"/>
    <col min="1799" max="2048" width="11.42578125" style="108"/>
    <col min="2049" max="2049" width="2.7109375" style="108" customWidth="1"/>
    <col min="2050" max="2050" width="57.5703125" style="108" bestFit="1" customWidth="1"/>
    <col min="2051" max="2051" width="9.28515625" style="108" bestFit="1" customWidth="1"/>
    <col min="2052" max="2052" width="16.28515625" style="108" bestFit="1" customWidth="1"/>
    <col min="2053" max="2053" width="16.85546875" style="108" bestFit="1" customWidth="1"/>
    <col min="2054" max="2054" width="15.42578125" style="108" bestFit="1" customWidth="1"/>
    <col min="2055" max="2304" width="11.42578125" style="108"/>
    <col min="2305" max="2305" width="2.7109375" style="108" customWidth="1"/>
    <col min="2306" max="2306" width="57.5703125" style="108" bestFit="1" customWidth="1"/>
    <col min="2307" max="2307" width="9.28515625" style="108" bestFit="1" customWidth="1"/>
    <col min="2308" max="2308" width="16.28515625" style="108" bestFit="1" customWidth="1"/>
    <col min="2309" max="2309" width="16.85546875" style="108" bestFit="1" customWidth="1"/>
    <col min="2310" max="2310" width="15.42578125" style="108" bestFit="1" customWidth="1"/>
    <col min="2311" max="2560" width="11.42578125" style="108"/>
    <col min="2561" max="2561" width="2.7109375" style="108" customWidth="1"/>
    <col min="2562" max="2562" width="57.5703125" style="108" bestFit="1" customWidth="1"/>
    <col min="2563" max="2563" width="9.28515625" style="108" bestFit="1" customWidth="1"/>
    <col min="2564" max="2564" width="16.28515625" style="108" bestFit="1" customWidth="1"/>
    <col min="2565" max="2565" width="16.85546875" style="108" bestFit="1" customWidth="1"/>
    <col min="2566" max="2566" width="15.42578125" style="108" bestFit="1" customWidth="1"/>
    <col min="2567" max="2816" width="11.42578125" style="108"/>
    <col min="2817" max="2817" width="2.7109375" style="108" customWidth="1"/>
    <col min="2818" max="2818" width="57.5703125" style="108" bestFit="1" customWidth="1"/>
    <col min="2819" max="2819" width="9.28515625" style="108" bestFit="1" customWidth="1"/>
    <col min="2820" max="2820" width="16.28515625" style="108" bestFit="1" customWidth="1"/>
    <col min="2821" max="2821" width="16.85546875" style="108" bestFit="1" customWidth="1"/>
    <col min="2822" max="2822" width="15.42578125" style="108" bestFit="1" customWidth="1"/>
    <col min="2823" max="3072" width="11.42578125" style="108"/>
    <col min="3073" max="3073" width="2.7109375" style="108" customWidth="1"/>
    <col min="3074" max="3074" width="57.5703125" style="108" bestFit="1" customWidth="1"/>
    <col min="3075" max="3075" width="9.28515625" style="108" bestFit="1" customWidth="1"/>
    <col min="3076" max="3076" width="16.28515625" style="108" bestFit="1" customWidth="1"/>
    <col min="3077" max="3077" width="16.85546875" style="108" bestFit="1" customWidth="1"/>
    <col min="3078" max="3078" width="15.42578125" style="108" bestFit="1" customWidth="1"/>
    <col min="3079" max="3328" width="11.42578125" style="108"/>
    <col min="3329" max="3329" width="2.7109375" style="108" customWidth="1"/>
    <col min="3330" max="3330" width="57.5703125" style="108" bestFit="1" customWidth="1"/>
    <col min="3331" max="3331" width="9.28515625" style="108" bestFit="1" customWidth="1"/>
    <col min="3332" max="3332" width="16.28515625" style="108" bestFit="1" customWidth="1"/>
    <col min="3333" max="3333" width="16.85546875" style="108" bestFit="1" customWidth="1"/>
    <col min="3334" max="3334" width="15.42578125" style="108" bestFit="1" customWidth="1"/>
    <col min="3335" max="3584" width="11.42578125" style="108"/>
    <col min="3585" max="3585" width="2.7109375" style="108" customWidth="1"/>
    <col min="3586" max="3586" width="57.5703125" style="108" bestFit="1" customWidth="1"/>
    <col min="3587" max="3587" width="9.28515625" style="108" bestFit="1" customWidth="1"/>
    <col min="3588" max="3588" width="16.28515625" style="108" bestFit="1" customWidth="1"/>
    <col min="3589" max="3589" width="16.85546875" style="108" bestFit="1" customWidth="1"/>
    <col min="3590" max="3590" width="15.42578125" style="108" bestFit="1" customWidth="1"/>
    <col min="3591" max="3840" width="11.42578125" style="108"/>
    <col min="3841" max="3841" width="2.7109375" style="108" customWidth="1"/>
    <col min="3842" max="3842" width="57.5703125" style="108" bestFit="1" customWidth="1"/>
    <col min="3843" max="3843" width="9.28515625" style="108" bestFit="1" customWidth="1"/>
    <col min="3844" max="3844" width="16.28515625" style="108" bestFit="1" customWidth="1"/>
    <col min="3845" max="3845" width="16.85546875" style="108" bestFit="1" customWidth="1"/>
    <col min="3846" max="3846" width="15.42578125" style="108" bestFit="1" customWidth="1"/>
    <col min="3847" max="4096" width="11.42578125" style="108"/>
    <col min="4097" max="4097" width="2.7109375" style="108" customWidth="1"/>
    <col min="4098" max="4098" width="57.5703125" style="108" bestFit="1" customWidth="1"/>
    <col min="4099" max="4099" width="9.28515625" style="108" bestFit="1" customWidth="1"/>
    <col min="4100" max="4100" width="16.28515625" style="108" bestFit="1" customWidth="1"/>
    <col min="4101" max="4101" width="16.85546875" style="108" bestFit="1" customWidth="1"/>
    <col min="4102" max="4102" width="15.42578125" style="108" bestFit="1" customWidth="1"/>
    <col min="4103" max="4352" width="11.42578125" style="108"/>
    <col min="4353" max="4353" width="2.7109375" style="108" customWidth="1"/>
    <col min="4354" max="4354" width="57.5703125" style="108" bestFit="1" customWidth="1"/>
    <col min="4355" max="4355" width="9.28515625" style="108" bestFit="1" customWidth="1"/>
    <col min="4356" max="4356" width="16.28515625" style="108" bestFit="1" customWidth="1"/>
    <col min="4357" max="4357" width="16.85546875" style="108" bestFit="1" customWidth="1"/>
    <col min="4358" max="4358" width="15.42578125" style="108" bestFit="1" customWidth="1"/>
    <col min="4359" max="4608" width="11.42578125" style="108"/>
    <col min="4609" max="4609" width="2.7109375" style="108" customWidth="1"/>
    <col min="4610" max="4610" width="57.5703125" style="108" bestFit="1" customWidth="1"/>
    <col min="4611" max="4611" width="9.28515625" style="108" bestFit="1" customWidth="1"/>
    <col min="4612" max="4612" width="16.28515625" style="108" bestFit="1" customWidth="1"/>
    <col min="4613" max="4613" width="16.85546875" style="108" bestFit="1" customWidth="1"/>
    <col min="4614" max="4614" width="15.42578125" style="108" bestFit="1" customWidth="1"/>
    <col min="4615" max="4864" width="11.42578125" style="108"/>
    <col min="4865" max="4865" width="2.7109375" style="108" customWidth="1"/>
    <col min="4866" max="4866" width="57.5703125" style="108" bestFit="1" customWidth="1"/>
    <col min="4867" max="4867" width="9.28515625" style="108" bestFit="1" customWidth="1"/>
    <col min="4868" max="4868" width="16.28515625" style="108" bestFit="1" customWidth="1"/>
    <col min="4869" max="4869" width="16.85546875" style="108" bestFit="1" customWidth="1"/>
    <col min="4870" max="4870" width="15.42578125" style="108" bestFit="1" customWidth="1"/>
    <col min="4871" max="5120" width="11.42578125" style="108"/>
    <col min="5121" max="5121" width="2.7109375" style="108" customWidth="1"/>
    <col min="5122" max="5122" width="57.5703125" style="108" bestFit="1" customWidth="1"/>
    <col min="5123" max="5123" width="9.28515625" style="108" bestFit="1" customWidth="1"/>
    <col min="5124" max="5124" width="16.28515625" style="108" bestFit="1" customWidth="1"/>
    <col min="5125" max="5125" width="16.85546875" style="108" bestFit="1" customWidth="1"/>
    <col min="5126" max="5126" width="15.42578125" style="108" bestFit="1" customWidth="1"/>
    <col min="5127" max="5376" width="11.42578125" style="108"/>
    <col min="5377" max="5377" width="2.7109375" style="108" customWidth="1"/>
    <col min="5378" max="5378" width="57.5703125" style="108" bestFit="1" customWidth="1"/>
    <col min="5379" max="5379" width="9.28515625" style="108" bestFit="1" customWidth="1"/>
    <col min="5380" max="5380" width="16.28515625" style="108" bestFit="1" customWidth="1"/>
    <col min="5381" max="5381" width="16.85546875" style="108" bestFit="1" customWidth="1"/>
    <col min="5382" max="5382" width="15.42578125" style="108" bestFit="1" customWidth="1"/>
    <col min="5383" max="5632" width="11.42578125" style="108"/>
    <col min="5633" max="5633" width="2.7109375" style="108" customWidth="1"/>
    <col min="5634" max="5634" width="57.5703125" style="108" bestFit="1" customWidth="1"/>
    <col min="5635" max="5635" width="9.28515625" style="108" bestFit="1" customWidth="1"/>
    <col min="5636" max="5636" width="16.28515625" style="108" bestFit="1" customWidth="1"/>
    <col min="5637" max="5637" width="16.85546875" style="108" bestFit="1" customWidth="1"/>
    <col min="5638" max="5638" width="15.42578125" style="108" bestFit="1" customWidth="1"/>
    <col min="5639" max="5888" width="11.42578125" style="108"/>
    <col min="5889" max="5889" width="2.7109375" style="108" customWidth="1"/>
    <col min="5890" max="5890" width="57.5703125" style="108" bestFit="1" customWidth="1"/>
    <col min="5891" max="5891" width="9.28515625" style="108" bestFit="1" customWidth="1"/>
    <col min="5892" max="5892" width="16.28515625" style="108" bestFit="1" customWidth="1"/>
    <col min="5893" max="5893" width="16.85546875" style="108" bestFit="1" customWidth="1"/>
    <col min="5894" max="5894" width="15.42578125" style="108" bestFit="1" customWidth="1"/>
    <col min="5895" max="6144" width="11.42578125" style="108"/>
    <col min="6145" max="6145" width="2.7109375" style="108" customWidth="1"/>
    <col min="6146" max="6146" width="57.5703125" style="108" bestFit="1" customWidth="1"/>
    <col min="6147" max="6147" width="9.28515625" style="108" bestFit="1" customWidth="1"/>
    <col min="6148" max="6148" width="16.28515625" style="108" bestFit="1" customWidth="1"/>
    <col min="6149" max="6149" width="16.85546875" style="108" bestFit="1" customWidth="1"/>
    <col min="6150" max="6150" width="15.42578125" style="108" bestFit="1" customWidth="1"/>
    <col min="6151" max="6400" width="11.42578125" style="108"/>
    <col min="6401" max="6401" width="2.7109375" style="108" customWidth="1"/>
    <col min="6402" max="6402" width="57.5703125" style="108" bestFit="1" customWidth="1"/>
    <col min="6403" max="6403" width="9.28515625" style="108" bestFit="1" customWidth="1"/>
    <col min="6404" max="6404" width="16.28515625" style="108" bestFit="1" customWidth="1"/>
    <col min="6405" max="6405" width="16.85546875" style="108" bestFit="1" customWidth="1"/>
    <col min="6406" max="6406" width="15.42578125" style="108" bestFit="1" customWidth="1"/>
    <col min="6407" max="6656" width="11.42578125" style="108"/>
    <col min="6657" max="6657" width="2.7109375" style="108" customWidth="1"/>
    <col min="6658" max="6658" width="57.5703125" style="108" bestFit="1" customWidth="1"/>
    <col min="6659" max="6659" width="9.28515625" style="108" bestFit="1" customWidth="1"/>
    <col min="6660" max="6660" width="16.28515625" style="108" bestFit="1" customWidth="1"/>
    <col min="6661" max="6661" width="16.85546875" style="108" bestFit="1" customWidth="1"/>
    <col min="6662" max="6662" width="15.42578125" style="108" bestFit="1" customWidth="1"/>
    <col min="6663" max="6912" width="11.42578125" style="108"/>
    <col min="6913" max="6913" width="2.7109375" style="108" customWidth="1"/>
    <col min="6914" max="6914" width="57.5703125" style="108" bestFit="1" customWidth="1"/>
    <col min="6915" max="6915" width="9.28515625" style="108" bestFit="1" customWidth="1"/>
    <col min="6916" max="6916" width="16.28515625" style="108" bestFit="1" customWidth="1"/>
    <col min="6917" max="6917" width="16.85546875" style="108" bestFit="1" customWidth="1"/>
    <col min="6918" max="6918" width="15.42578125" style="108" bestFit="1" customWidth="1"/>
    <col min="6919" max="7168" width="11.42578125" style="108"/>
    <col min="7169" max="7169" width="2.7109375" style="108" customWidth="1"/>
    <col min="7170" max="7170" width="57.5703125" style="108" bestFit="1" customWidth="1"/>
    <col min="7171" max="7171" width="9.28515625" style="108" bestFit="1" customWidth="1"/>
    <col min="7172" max="7172" width="16.28515625" style="108" bestFit="1" customWidth="1"/>
    <col min="7173" max="7173" width="16.85546875" style="108" bestFit="1" customWidth="1"/>
    <col min="7174" max="7174" width="15.42578125" style="108" bestFit="1" customWidth="1"/>
    <col min="7175" max="7424" width="11.42578125" style="108"/>
    <col min="7425" max="7425" width="2.7109375" style="108" customWidth="1"/>
    <col min="7426" max="7426" width="57.5703125" style="108" bestFit="1" customWidth="1"/>
    <col min="7427" max="7427" width="9.28515625" style="108" bestFit="1" customWidth="1"/>
    <col min="7428" max="7428" width="16.28515625" style="108" bestFit="1" customWidth="1"/>
    <col min="7429" max="7429" width="16.85546875" style="108" bestFit="1" customWidth="1"/>
    <col min="7430" max="7430" width="15.42578125" style="108" bestFit="1" customWidth="1"/>
    <col min="7431" max="7680" width="11.42578125" style="108"/>
    <col min="7681" max="7681" width="2.7109375" style="108" customWidth="1"/>
    <col min="7682" max="7682" width="57.5703125" style="108" bestFit="1" customWidth="1"/>
    <col min="7683" max="7683" width="9.28515625" style="108" bestFit="1" customWidth="1"/>
    <col min="7684" max="7684" width="16.28515625" style="108" bestFit="1" customWidth="1"/>
    <col min="7685" max="7685" width="16.85546875" style="108" bestFit="1" customWidth="1"/>
    <col min="7686" max="7686" width="15.42578125" style="108" bestFit="1" customWidth="1"/>
    <col min="7687" max="7936" width="11.42578125" style="108"/>
    <col min="7937" max="7937" width="2.7109375" style="108" customWidth="1"/>
    <col min="7938" max="7938" width="57.5703125" style="108" bestFit="1" customWidth="1"/>
    <col min="7939" max="7939" width="9.28515625" style="108" bestFit="1" customWidth="1"/>
    <col min="7940" max="7940" width="16.28515625" style="108" bestFit="1" customWidth="1"/>
    <col min="7941" max="7941" width="16.85546875" style="108" bestFit="1" customWidth="1"/>
    <col min="7942" max="7942" width="15.42578125" style="108" bestFit="1" customWidth="1"/>
    <col min="7943" max="8192" width="11.42578125" style="108"/>
    <col min="8193" max="8193" width="2.7109375" style="108" customWidth="1"/>
    <col min="8194" max="8194" width="57.5703125" style="108" bestFit="1" customWidth="1"/>
    <col min="8195" max="8195" width="9.28515625" style="108" bestFit="1" customWidth="1"/>
    <col min="8196" max="8196" width="16.28515625" style="108" bestFit="1" customWidth="1"/>
    <col min="8197" max="8197" width="16.85546875" style="108" bestFit="1" customWidth="1"/>
    <col min="8198" max="8198" width="15.42578125" style="108" bestFit="1" customWidth="1"/>
    <col min="8199" max="8448" width="11.42578125" style="108"/>
    <col min="8449" max="8449" width="2.7109375" style="108" customWidth="1"/>
    <col min="8450" max="8450" width="57.5703125" style="108" bestFit="1" customWidth="1"/>
    <col min="8451" max="8451" width="9.28515625" style="108" bestFit="1" customWidth="1"/>
    <col min="8452" max="8452" width="16.28515625" style="108" bestFit="1" customWidth="1"/>
    <col min="8453" max="8453" width="16.85546875" style="108" bestFit="1" customWidth="1"/>
    <col min="8454" max="8454" width="15.42578125" style="108" bestFit="1" customWidth="1"/>
    <col min="8455" max="8704" width="11.42578125" style="108"/>
    <col min="8705" max="8705" width="2.7109375" style="108" customWidth="1"/>
    <col min="8706" max="8706" width="57.5703125" style="108" bestFit="1" customWidth="1"/>
    <col min="8707" max="8707" width="9.28515625" style="108" bestFit="1" customWidth="1"/>
    <col min="8708" max="8708" width="16.28515625" style="108" bestFit="1" customWidth="1"/>
    <col min="8709" max="8709" width="16.85546875" style="108" bestFit="1" customWidth="1"/>
    <col min="8710" max="8710" width="15.42578125" style="108" bestFit="1" customWidth="1"/>
    <col min="8711" max="8960" width="11.42578125" style="108"/>
    <col min="8961" max="8961" width="2.7109375" style="108" customWidth="1"/>
    <col min="8962" max="8962" width="57.5703125" style="108" bestFit="1" customWidth="1"/>
    <col min="8963" max="8963" width="9.28515625" style="108" bestFit="1" customWidth="1"/>
    <col min="8964" max="8964" width="16.28515625" style="108" bestFit="1" customWidth="1"/>
    <col min="8965" max="8965" width="16.85546875" style="108" bestFit="1" customWidth="1"/>
    <col min="8966" max="8966" width="15.42578125" style="108" bestFit="1" customWidth="1"/>
    <col min="8967" max="9216" width="11.42578125" style="108"/>
    <col min="9217" max="9217" width="2.7109375" style="108" customWidth="1"/>
    <col min="9218" max="9218" width="57.5703125" style="108" bestFit="1" customWidth="1"/>
    <col min="9219" max="9219" width="9.28515625" style="108" bestFit="1" customWidth="1"/>
    <col min="9220" max="9220" width="16.28515625" style="108" bestFit="1" customWidth="1"/>
    <col min="9221" max="9221" width="16.85546875" style="108" bestFit="1" customWidth="1"/>
    <col min="9222" max="9222" width="15.42578125" style="108" bestFit="1" customWidth="1"/>
    <col min="9223" max="9472" width="11.42578125" style="108"/>
    <col min="9473" max="9473" width="2.7109375" style="108" customWidth="1"/>
    <col min="9474" max="9474" width="57.5703125" style="108" bestFit="1" customWidth="1"/>
    <col min="9475" max="9475" width="9.28515625" style="108" bestFit="1" customWidth="1"/>
    <col min="9476" max="9476" width="16.28515625" style="108" bestFit="1" customWidth="1"/>
    <col min="9477" max="9477" width="16.85546875" style="108" bestFit="1" customWidth="1"/>
    <col min="9478" max="9478" width="15.42578125" style="108" bestFit="1" customWidth="1"/>
    <col min="9479" max="9728" width="11.42578125" style="108"/>
    <col min="9729" max="9729" width="2.7109375" style="108" customWidth="1"/>
    <col min="9730" max="9730" width="57.5703125" style="108" bestFit="1" customWidth="1"/>
    <col min="9731" max="9731" width="9.28515625" style="108" bestFit="1" customWidth="1"/>
    <col min="9732" max="9732" width="16.28515625" style="108" bestFit="1" customWidth="1"/>
    <col min="9733" max="9733" width="16.85546875" style="108" bestFit="1" customWidth="1"/>
    <col min="9734" max="9734" width="15.42578125" style="108" bestFit="1" customWidth="1"/>
    <col min="9735" max="9984" width="11.42578125" style="108"/>
    <col min="9985" max="9985" width="2.7109375" style="108" customWidth="1"/>
    <col min="9986" max="9986" width="57.5703125" style="108" bestFit="1" customWidth="1"/>
    <col min="9987" max="9987" width="9.28515625" style="108" bestFit="1" customWidth="1"/>
    <col min="9988" max="9988" width="16.28515625" style="108" bestFit="1" customWidth="1"/>
    <col min="9989" max="9989" width="16.85546875" style="108" bestFit="1" customWidth="1"/>
    <col min="9990" max="9990" width="15.42578125" style="108" bestFit="1" customWidth="1"/>
    <col min="9991" max="10240" width="11.42578125" style="108"/>
    <col min="10241" max="10241" width="2.7109375" style="108" customWidth="1"/>
    <col min="10242" max="10242" width="57.5703125" style="108" bestFit="1" customWidth="1"/>
    <col min="10243" max="10243" width="9.28515625" style="108" bestFit="1" customWidth="1"/>
    <col min="10244" max="10244" width="16.28515625" style="108" bestFit="1" customWidth="1"/>
    <col min="10245" max="10245" width="16.85546875" style="108" bestFit="1" customWidth="1"/>
    <col min="10246" max="10246" width="15.42578125" style="108" bestFit="1" customWidth="1"/>
    <col min="10247" max="10496" width="11.42578125" style="108"/>
    <col min="10497" max="10497" width="2.7109375" style="108" customWidth="1"/>
    <col min="10498" max="10498" width="57.5703125" style="108" bestFit="1" customWidth="1"/>
    <col min="10499" max="10499" width="9.28515625" style="108" bestFit="1" customWidth="1"/>
    <col min="10500" max="10500" width="16.28515625" style="108" bestFit="1" customWidth="1"/>
    <col min="10501" max="10501" width="16.85546875" style="108" bestFit="1" customWidth="1"/>
    <col min="10502" max="10502" width="15.42578125" style="108" bestFit="1" customWidth="1"/>
    <col min="10503" max="10752" width="11.42578125" style="108"/>
    <col min="10753" max="10753" width="2.7109375" style="108" customWidth="1"/>
    <col min="10754" max="10754" width="57.5703125" style="108" bestFit="1" customWidth="1"/>
    <col min="10755" max="10755" width="9.28515625" style="108" bestFit="1" customWidth="1"/>
    <col min="10756" max="10756" width="16.28515625" style="108" bestFit="1" customWidth="1"/>
    <col min="10757" max="10757" width="16.85546875" style="108" bestFit="1" customWidth="1"/>
    <col min="10758" max="10758" width="15.42578125" style="108" bestFit="1" customWidth="1"/>
    <col min="10759" max="11008" width="11.42578125" style="108"/>
    <col min="11009" max="11009" width="2.7109375" style="108" customWidth="1"/>
    <col min="11010" max="11010" width="57.5703125" style="108" bestFit="1" customWidth="1"/>
    <col min="11011" max="11011" width="9.28515625" style="108" bestFit="1" customWidth="1"/>
    <col min="11012" max="11012" width="16.28515625" style="108" bestFit="1" customWidth="1"/>
    <col min="11013" max="11013" width="16.85546875" style="108" bestFit="1" customWidth="1"/>
    <col min="11014" max="11014" width="15.42578125" style="108" bestFit="1" customWidth="1"/>
    <col min="11015" max="11264" width="11.42578125" style="108"/>
    <col min="11265" max="11265" width="2.7109375" style="108" customWidth="1"/>
    <col min="11266" max="11266" width="57.5703125" style="108" bestFit="1" customWidth="1"/>
    <col min="11267" max="11267" width="9.28515625" style="108" bestFit="1" customWidth="1"/>
    <col min="11268" max="11268" width="16.28515625" style="108" bestFit="1" customWidth="1"/>
    <col min="11269" max="11269" width="16.85546875" style="108" bestFit="1" customWidth="1"/>
    <col min="11270" max="11270" width="15.42578125" style="108" bestFit="1" customWidth="1"/>
    <col min="11271" max="11520" width="11.42578125" style="108"/>
    <col min="11521" max="11521" width="2.7109375" style="108" customWidth="1"/>
    <col min="11522" max="11522" width="57.5703125" style="108" bestFit="1" customWidth="1"/>
    <col min="11523" max="11523" width="9.28515625" style="108" bestFit="1" customWidth="1"/>
    <col min="11524" max="11524" width="16.28515625" style="108" bestFit="1" customWidth="1"/>
    <col min="11525" max="11525" width="16.85546875" style="108" bestFit="1" customWidth="1"/>
    <col min="11526" max="11526" width="15.42578125" style="108" bestFit="1" customWidth="1"/>
    <col min="11527" max="11776" width="11.42578125" style="108"/>
    <col min="11777" max="11777" width="2.7109375" style="108" customWidth="1"/>
    <col min="11778" max="11778" width="57.5703125" style="108" bestFit="1" customWidth="1"/>
    <col min="11779" max="11779" width="9.28515625" style="108" bestFit="1" customWidth="1"/>
    <col min="11780" max="11780" width="16.28515625" style="108" bestFit="1" customWidth="1"/>
    <col min="11781" max="11781" width="16.85546875" style="108" bestFit="1" customWidth="1"/>
    <col min="11782" max="11782" width="15.42578125" style="108" bestFit="1" customWidth="1"/>
    <col min="11783" max="12032" width="11.42578125" style="108"/>
    <col min="12033" max="12033" width="2.7109375" style="108" customWidth="1"/>
    <col min="12034" max="12034" width="57.5703125" style="108" bestFit="1" customWidth="1"/>
    <col min="12035" max="12035" width="9.28515625" style="108" bestFit="1" customWidth="1"/>
    <col min="12036" max="12036" width="16.28515625" style="108" bestFit="1" customWidth="1"/>
    <col min="12037" max="12037" width="16.85546875" style="108" bestFit="1" customWidth="1"/>
    <col min="12038" max="12038" width="15.42578125" style="108" bestFit="1" customWidth="1"/>
    <col min="12039" max="12288" width="11.42578125" style="108"/>
    <col min="12289" max="12289" width="2.7109375" style="108" customWidth="1"/>
    <col min="12290" max="12290" width="57.5703125" style="108" bestFit="1" customWidth="1"/>
    <col min="12291" max="12291" width="9.28515625" style="108" bestFit="1" customWidth="1"/>
    <col min="12292" max="12292" width="16.28515625" style="108" bestFit="1" customWidth="1"/>
    <col min="12293" max="12293" width="16.85546875" style="108" bestFit="1" customWidth="1"/>
    <col min="12294" max="12294" width="15.42578125" style="108" bestFit="1" customWidth="1"/>
    <col min="12295" max="12544" width="11.42578125" style="108"/>
    <col min="12545" max="12545" width="2.7109375" style="108" customWidth="1"/>
    <col min="12546" max="12546" width="57.5703125" style="108" bestFit="1" customWidth="1"/>
    <col min="12547" max="12547" width="9.28515625" style="108" bestFit="1" customWidth="1"/>
    <col min="12548" max="12548" width="16.28515625" style="108" bestFit="1" customWidth="1"/>
    <col min="12549" max="12549" width="16.85546875" style="108" bestFit="1" customWidth="1"/>
    <col min="12550" max="12550" width="15.42578125" style="108" bestFit="1" customWidth="1"/>
    <col min="12551" max="12800" width="11.42578125" style="108"/>
    <col min="12801" max="12801" width="2.7109375" style="108" customWidth="1"/>
    <col min="12802" max="12802" width="57.5703125" style="108" bestFit="1" customWidth="1"/>
    <col min="12803" max="12803" width="9.28515625" style="108" bestFit="1" customWidth="1"/>
    <col min="12804" max="12804" width="16.28515625" style="108" bestFit="1" customWidth="1"/>
    <col min="12805" max="12805" width="16.85546875" style="108" bestFit="1" customWidth="1"/>
    <col min="12806" max="12806" width="15.42578125" style="108" bestFit="1" customWidth="1"/>
    <col min="12807" max="13056" width="11.42578125" style="108"/>
    <col min="13057" max="13057" width="2.7109375" style="108" customWidth="1"/>
    <col min="13058" max="13058" width="57.5703125" style="108" bestFit="1" customWidth="1"/>
    <col min="13059" max="13059" width="9.28515625" style="108" bestFit="1" customWidth="1"/>
    <col min="13060" max="13060" width="16.28515625" style="108" bestFit="1" customWidth="1"/>
    <col min="13061" max="13061" width="16.85546875" style="108" bestFit="1" customWidth="1"/>
    <col min="13062" max="13062" width="15.42578125" style="108" bestFit="1" customWidth="1"/>
    <col min="13063" max="13312" width="11.42578125" style="108"/>
    <col min="13313" max="13313" width="2.7109375" style="108" customWidth="1"/>
    <col min="13314" max="13314" width="57.5703125" style="108" bestFit="1" customWidth="1"/>
    <col min="13315" max="13315" width="9.28515625" style="108" bestFit="1" customWidth="1"/>
    <col min="13316" max="13316" width="16.28515625" style="108" bestFit="1" customWidth="1"/>
    <col min="13317" max="13317" width="16.85546875" style="108" bestFit="1" customWidth="1"/>
    <col min="13318" max="13318" width="15.42578125" style="108" bestFit="1" customWidth="1"/>
    <col min="13319" max="13568" width="11.42578125" style="108"/>
    <col min="13569" max="13569" width="2.7109375" style="108" customWidth="1"/>
    <col min="13570" max="13570" width="57.5703125" style="108" bestFit="1" customWidth="1"/>
    <col min="13571" max="13571" width="9.28515625" style="108" bestFit="1" customWidth="1"/>
    <col min="13572" max="13572" width="16.28515625" style="108" bestFit="1" customWidth="1"/>
    <col min="13573" max="13573" width="16.85546875" style="108" bestFit="1" customWidth="1"/>
    <col min="13574" max="13574" width="15.42578125" style="108" bestFit="1" customWidth="1"/>
    <col min="13575" max="13824" width="11.42578125" style="108"/>
    <col min="13825" max="13825" width="2.7109375" style="108" customWidth="1"/>
    <col min="13826" max="13826" width="57.5703125" style="108" bestFit="1" customWidth="1"/>
    <col min="13827" max="13827" width="9.28515625" style="108" bestFit="1" customWidth="1"/>
    <col min="13828" max="13828" width="16.28515625" style="108" bestFit="1" customWidth="1"/>
    <col min="13829" max="13829" width="16.85546875" style="108" bestFit="1" customWidth="1"/>
    <col min="13830" max="13830" width="15.42578125" style="108" bestFit="1" customWidth="1"/>
    <col min="13831" max="14080" width="11.42578125" style="108"/>
    <col min="14081" max="14081" width="2.7109375" style="108" customWidth="1"/>
    <col min="14082" max="14082" width="57.5703125" style="108" bestFit="1" customWidth="1"/>
    <col min="14083" max="14083" width="9.28515625" style="108" bestFit="1" customWidth="1"/>
    <col min="14084" max="14084" width="16.28515625" style="108" bestFit="1" customWidth="1"/>
    <col min="14085" max="14085" width="16.85546875" style="108" bestFit="1" customWidth="1"/>
    <col min="14086" max="14086" width="15.42578125" style="108" bestFit="1" customWidth="1"/>
    <col min="14087" max="14336" width="11.42578125" style="108"/>
    <col min="14337" max="14337" width="2.7109375" style="108" customWidth="1"/>
    <col min="14338" max="14338" width="57.5703125" style="108" bestFit="1" customWidth="1"/>
    <col min="14339" max="14339" width="9.28515625" style="108" bestFit="1" customWidth="1"/>
    <col min="14340" max="14340" width="16.28515625" style="108" bestFit="1" customWidth="1"/>
    <col min="14341" max="14341" width="16.85546875" style="108" bestFit="1" customWidth="1"/>
    <col min="14342" max="14342" width="15.42578125" style="108" bestFit="1" customWidth="1"/>
    <col min="14343" max="14592" width="11.42578125" style="108"/>
    <col min="14593" max="14593" width="2.7109375" style="108" customWidth="1"/>
    <col min="14594" max="14594" width="57.5703125" style="108" bestFit="1" customWidth="1"/>
    <col min="14595" max="14595" width="9.28515625" style="108" bestFit="1" customWidth="1"/>
    <col min="14596" max="14596" width="16.28515625" style="108" bestFit="1" customWidth="1"/>
    <col min="14597" max="14597" width="16.85546875" style="108" bestFit="1" customWidth="1"/>
    <col min="14598" max="14598" width="15.42578125" style="108" bestFit="1" customWidth="1"/>
    <col min="14599" max="14848" width="11.42578125" style="108"/>
    <col min="14849" max="14849" width="2.7109375" style="108" customWidth="1"/>
    <col min="14850" max="14850" width="57.5703125" style="108" bestFit="1" customWidth="1"/>
    <col min="14851" max="14851" width="9.28515625" style="108" bestFit="1" customWidth="1"/>
    <col min="14852" max="14852" width="16.28515625" style="108" bestFit="1" customWidth="1"/>
    <col min="14853" max="14853" width="16.85546875" style="108" bestFit="1" customWidth="1"/>
    <col min="14854" max="14854" width="15.42578125" style="108" bestFit="1" customWidth="1"/>
    <col min="14855" max="15104" width="11.42578125" style="108"/>
    <col min="15105" max="15105" width="2.7109375" style="108" customWidth="1"/>
    <col min="15106" max="15106" width="57.5703125" style="108" bestFit="1" customWidth="1"/>
    <col min="15107" max="15107" width="9.28515625" style="108" bestFit="1" customWidth="1"/>
    <col min="15108" max="15108" width="16.28515625" style="108" bestFit="1" customWidth="1"/>
    <col min="15109" max="15109" width="16.85546875" style="108" bestFit="1" customWidth="1"/>
    <col min="15110" max="15110" width="15.42578125" style="108" bestFit="1" customWidth="1"/>
    <col min="15111" max="15360" width="11.42578125" style="108"/>
    <col min="15361" max="15361" width="2.7109375" style="108" customWidth="1"/>
    <col min="15362" max="15362" width="57.5703125" style="108" bestFit="1" customWidth="1"/>
    <col min="15363" max="15363" width="9.28515625" style="108" bestFit="1" customWidth="1"/>
    <col min="15364" max="15364" width="16.28515625" style="108" bestFit="1" customWidth="1"/>
    <col min="15365" max="15365" width="16.85546875" style="108" bestFit="1" customWidth="1"/>
    <col min="15366" max="15366" width="15.42578125" style="108" bestFit="1" customWidth="1"/>
    <col min="15367" max="15616" width="11.42578125" style="108"/>
    <col min="15617" max="15617" width="2.7109375" style="108" customWidth="1"/>
    <col min="15618" max="15618" width="57.5703125" style="108" bestFit="1" customWidth="1"/>
    <col min="15619" max="15619" width="9.28515625" style="108" bestFit="1" customWidth="1"/>
    <col min="15620" max="15620" width="16.28515625" style="108" bestFit="1" customWidth="1"/>
    <col min="15621" max="15621" width="16.85546875" style="108" bestFit="1" customWidth="1"/>
    <col min="15622" max="15622" width="15.42578125" style="108" bestFit="1" customWidth="1"/>
    <col min="15623" max="15872" width="11.42578125" style="108"/>
    <col min="15873" max="15873" width="2.7109375" style="108" customWidth="1"/>
    <col min="15874" max="15874" width="57.5703125" style="108" bestFit="1" customWidth="1"/>
    <col min="15875" max="15875" width="9.28515625" style="108" bestFit="1" customWidth="1"/>
    <col min="15876" max="15876" width="16.28515625" style="108" bestFit="1" customWidth="1"/>
    <col min="15877" max="15877" width="16.85546875" style="108" bestFit="1" customWidth="1"/>
    <col min="15878" max="15878" width="15.42578125" style="108" bestFit="1" customWidth="1"/>
    <col min="15879" max="16128" width="11.42578125" style="108"/>
    <col min="16129" max="16129" width="2.7109375" style="108" customWidth="1"/>
    <col min="16130" max="16130" width="57.5703125" style="108" bestFit="1" customWidth="1"/>
    <col min="16131" max="16131" width="9.28515625" style="108" bestFit="1" customWidth="1"/>
    <col min="16132" max="16132" width="16.28515625" style="108" bestFit="1" customWidth="1"/>
    <col min="16133" max="16133" width="16.85546875" style="108" bestFit="1" customWidth="1"/>
    <col min="16134" max="16134" width="15.42578125" style="108" bestFit="1" customWidth="1"/>
    <col min="16135" max="16384" width="11.42578125" style="108"/>
  </cols>
  <sheetData>
    <row r="1" spans="2:5" x14ac:dyDescent="0.2">
      <c r="B1" s="106"/>
      <c r="C1" s="101"/>
      <c r="D1" s="107"/>
      <c r="E1" s="107"/>
    </row>
    <row r="2" spans="2:5" x14ac:dyDescent="0.2">
      <c r="B2" s="198" t="s">
        <v>202</v>
      </c>
      <c r="C2" s="198"/>
      <c r="D2" s="198"/>
      <c r="E2" s="198"/>
    </row>
    <row r="3" spans="2:5" x14ac:dyDescent="0.2">
      <c r="B3" s="198"/>
      <c r="C3" s="198"/>
      <c r="D3" s="198"/>
      <c r="E3" s="198"/>
    </row>
    <row r="4" spans="2:5" x14ac:dyDescent="0.2">
      <c r="B4" s="199"/>
      <c r="C4" s="199"/>
      <c r="D4" s="199"/>
      <c r="E4" s="199"/>
    </row>
    <row r="5" spans="2:5" x14ac:dyDescent="0.2">
      <c r="B5" s="109" t="s">
        <v>192</v>
      </c>
      <c r="C5" s="110" t="s">
        <v>203</v>
      </c>
      <c r="D5" s="111" t="s">
        <v>204</v>
      </c>
      <c r="E5" s="111" t="s">
        <v>205</v>
      </c>
    </row>
    <row r="6" spans="2:5" s="112" customFormat="1" x14ac:dyDescent="0.2">
      <c r="B6" s="189" t="s">
        <v>206</v>
      </c>
      <c r="C6" s="190"/>
      <c r="D6" s="191"/>
      <c r="E6" s="104">
        <f>SUM(E7:E8)</f>
        <v>0</v>
      </c>
    </row>
    <row r="7" spans="2:5" s="112" customFormat="1" x14ac:dyDescent="0.2">
      <c r="B7" s="200" t="s">
        <v>193</v>
      </c>
      <c r="C7" s="201"/>
      <c r="D7" s="105"/>
      <c r="E7" s="113">
        <v>0</v>
      </c>
    </row>
    <row r="8" spans="2:5" s="112" customFormat="1" x14ac:dyDescent="0.2">
      <c r="B8" s="200" t="s">
        <v>63</v>
      </c>
      <c r="C8" s="202"/>
      <c r="D8" s="201"/>
      <c r="E8" s="105">
        <v>0</v>
      </c>
    </row>
    <row r="9" spans="2:5" s="112" customFormat="1" x14ac:dyDescent="0.2">
      <c r="B9" s="200"/>
      <c r="C9" s="202"/>
      <c r="D9" s="202"/>
      <c r="E9" s="201"/>
    </row>
    <row r="10" spans="2:5" s="112" customFormat="1" x14ac:dyDescent="0.2">
      <c r="B10" s="189" t="s">
        <v>194</v>
      </c>
      <c r="C10" s="190"/>
      <c r="D10" s="191"/>
      <c r="E10" s="104">
        <f>SUM(E11:E12)</f>
        <v>2600000</v>
      </c>
    </row>
    <row r="11" spans="2:5" s="112" customFormat="1" x14ac:dyDescent="0.2">
      <c r="B11" s="102" t="s">
        <v>207</v>
      </c>
      <c r="C11" s="114">
        <v>2</v>
      </c>
      <c r="D11" s="105">
        <v>1100000</v>
      </c>
      <c r="E11" s="103">
        <f>+D11*C11</f>
        <v>2200000</v>
      </c>
    </row>
    <row r="12" spans="2:5" s="112" customFormat="1" x14ac:dyDescent="0.2">
      <c r="B12" s="102" t="s">
        <v>208</v>
      </c>
      <c r="C12" s="114">
        <v>1</v>
      </c>
      <c r="D12" s="105">
        <v>400000</v>
      </c>
      <c r="E12" s="103">
        <f>+D12*C12</f>
        <v>400000</v>
      </c>
    </row>
    <row r="13" spans="2:5" s="112" customFormat="1" x14ac:dyDescent="0.2">
      <c r="B13" s="195"/>
      <c r="C13" s="196"/>
      <c r="D13" s="196"/>
      <c r="E13" s="197"/>
    </row>
    <row r="14" spans="2:5" s="112" customFormat="1" x14ac:dyDescent="0.2">
      <c r="B14" s="189" t="s">
        <v>195</v>
      </c>
      <c r="C14" s="190"/>
      <c r="D14" s="191"/>
      <c r="E14" s="104">
        <f>SUM(E15:E18)</f>
        <v>4340000</v>
      </c>
    </row>
    <row r="15" spans="2:5" s="112" customFormat="1" x14ac:dyDescent="0.2">
      <c r="B15" s="102" t="s">
        <v>209</v>
      </c>
      <c r="C15" s="114">
        <v>7</v>
      </c>
      <c r="D15" s="105">
        <v>300000</v>
      </c>
      <c r="E15" s="103">
        <f>+D15*C15</f>
        <v>2100000</v>
      </c>
    </row>
    <row r="16" spans="2:5" s="112" customFormat="1" x14ac:dyDescent="0.2">
      <c r="B16" s="102" t="s">
        <v>210</v>
      </c>
      <c r="C16" s="114">
        <v>14</v>
      </c>
      <c r="D16" s="105">
        <v>110000</v>
      </c>
      <c r="E16" s="103">
        <f>+D16*C16</f>
        <v>1540000</v>
      </c>
    </row>
    <row r="17" spans="2:7" s="112" customFormat="1" x14ac:dyDescent="0.2">
      <c r="B17" s="102" t="s">
        <v>211</v>
      </c>
      <c r="C17" s="114">
        <v>1</v>
      </c>
      <c r="D17" s="105">
        <v>700000</v>
      </c>
      <c r="E17" s="103">
        <f>+D17*C17</f>
        <v>700000</v>
      </c>
    </row>
    <row r="18" spans="2:7" s="112" customFormat="1" x14ac:dyDescent="0.2">
      <c r="B18" s="102"/>
      <c r="C18" s="114"/>
      <c r="D18" s="105"/>
      <c r="E18" s="103"/>
    </row>
    <row r="19" spans="2:7" s="112" customFormat="1" x14ac:dyDescent="0.2">
      <c r="B19" s="195"/>
      <c r="C19" s="196"/>
      <c r="D19" s="196"/>
      <c r="E19" s="197"/>
    </row>
    <row r="20" spans="2:7" s="112" customFormat="1" x14ac:dyDescent="0.2">
      <c r="B20" s="189" t="s">
        <v>196</v>
      </c>
      <c r="C20" s="190"/>
      <c r="D20" s="191"/>
      <c r="E20" s="115">
        <f>SUM(E21)</f>
        <v>2000000</v>
      </c>
    </row>
    <row r="21" spans="2:7" s="112" customFormat="1" x14ac:dyDescent="0.2">
      <c r="B21" s="102" t="s">
        <v>196</v>
      </c>
      <c r="C21" s="114"/>
      <c r="D21" s="105"/>
      <c r="E21" s="103">
        <v>2000000</v>
      </c>
    </row>
    <row r="22" spans="2:7" s="112" customFormat="1" x14ac:dyDescent="0.2">
      <c r="B22" s="195"/>
      <c r="C22" s="196"/>
      <c r="D22" s="196"/>
      <c r="E22" s="197"/>
    </row>
    <row r="23" spans="2:7" s="112" customFormat="1" x14ac:dyDescent="0.2">
      <c r="B23" s="189" t="s">
        <v>197</v>
      </c>
      <c r="C23" s="190"/>
      <c r="D23" s="191"/>
      <c r="E23" s="104">
        <f>SUM(E24:E36)</f>
        <v>30010000</v>
      </c>
      <c r="F23" s="112">
        <f>+E23/60</f>
        <v>500166.66666666669</v>
      </c>
      <c r="G23" s="112">
        <f>+F23/30</f>
        <v>16672.222222222223</v>
      </c>
    </row>
    <row r="24" spans="2:7" s="112" customFormat="1" x14ac:dyDescent="0.2">
      <c r="B24" s="102" t="s">
        <v>212</v>
      </c>
      <c r="C24" s="114">
        <v>6</v>
      </c>
      <c r="D24" s="105">
        <v>1500000</v>
      </c>
      <c r="E24" s="103">
        <f>+D24*C24</f>
        <v>9000000</v>
      </c>
      <c r="F24" s="112">
        <f>+F23/56</f>
        <v>8931.5476190476202</v>
      </c>
    </row>
    <row r="25" spans="2:7" s="112" customFormat="1" x14ac:dyDescent="0.2">
      <c r="B25" s="102" t="s">
        <v>213</v>
      </c>
      <c r="C25" s="114">
        <v>3</v>
      </c>
      <c r="D25" s="103">
        <v>350000</v>
      </c>
      <c r="E25" s="103">
        <f t="shared" ref="E25:E36" si="0">+D25*C25</f>
        <v>1050000</v>
      </c>
    </row>
    <row r="26" spans="2:7" s="112" customFormat="1" x14ac:dyDescent="0.2">
      <c r="B26" s="102" t="s">
        <v>214</v>
      </c>
      <c r="C26" s="114">
        <v>12</v>
      </c>
      <c r="D26" s="103">
        <v>130000</v>
      </c>
      <c r="E26" s="103">
        <f t="shared" si="0"/>
        <v>1560000</v>
      </c>
    </row>
    <row r="27" spans="2:7" s="112" customFormat="1" x14ac:dyDescent="0.2">
      <c r="B27" s="102" t="s">
        <v>215</v>
      </c>
      <c r="C27" s="114">
        <v>12</v>
      </c>
      <c r="D27" s="103">
        <v>150000</v>
      </c>
      <c r="E27" s="103">
        <f t="shared" si="0"/>
        <v>1800000</v>
      </c>
    </row>
    <row r="28" spans="2:7" s="112" customFormat="1" x14ac:dyDescent="0.2">
      <c r="B28" s="102" t="s">
        <v>216</v>
      </c>
      <c r="C28" s="114">
        <v>8</v>
      </c>
      <c r="D28" s="103">
        <v>1200000</v>
      </c>
      <c r="E28" s="103">
        <f t="shared" si="0"/>
        <v>9600000</v>
      </c>
    </row>
    <row r="29" spans="2:7" s="112" customFormat="1" x14ac:dyDescent="0.2">
      <c r="B29" s="102" t="s">
        <v>217</v>
      </c>
      <c r="C29" s="114">
        <v>1</v>
      </c>
      <c r="D29" s="103">
        <v>7000000</v>
      </c>
      <c r="E29" s="103">
        <f t="shared" si="0"/>
        <v>7000000</v>
      </c>
    </row>
    <row r="30" spans="2:7" s="112" customFormat="1" x14ac:dyDescent="0.2">
      <c r="B30" s="102"/>
      <c r="C30" s="114"/>
      <c r="D30" s="105"/>
      <c r="E30" s="103">
        <f t="shared" si="0"/>
        <v>0</v>
      </c>
    </row>
    <row r="31" spans="2:7" s="112" customFormat="1" x14ac:dyDescent="0.2">
      <c r="B31" s="102"/>
      <c r="C31" s="114"/>
      <c r="D31" s="105"/>
      <c r="E31" s="103">
        <f t="shared" si="0"/>
        <v>0</v>
      </c>
    </row>
    <row r="32" spans="2:7" s="112" customFormat="1" x14ac:dyDescent="0.2">
      <c r="B32" s="102"/>
      <c r="C32" s="114"/>
      <c r="D32" s="105"/>
      <c r="E32" s="103">
        <f t="shared" si="0"/>
        <v>0</v>
      </c>
    </row>
    <row r="33" spans="2:7" s="112" customFormat="1" x14ac:dyDescent="0.2">
      <c r="B33" s="102"/>
      <c r="C33" s="114"/>
      <c r="D33" s="105"/>
      <c r="E33" s="103">
        <f t="shared" si="0"/>
        <v>0</v>
      </c>
    </row>
    <row r="34" spans="2:7" s="112" customFormat="1" x14ac:dyDescent="0.2">
      <c r="B34" s="102"/>
      <c r="C34" s="114"/>
      <c r="D34" s="105"/>
      <c r="E34" s="103">
        <f t="shared" si="0"/>
        <v>0</v>
      </c>
    </row>
    <row r="35" spans="2:7" s="112" customFormat="1" x14ac:dyDescent="0.2">
      <c r="B35" s="102"/>
      <c r="C35" s="114"/>
      <c r="D35" s="105"/>
      <c r="E35" s="103">
        <f t="shared" si="0"/>
        <v>0</v>
      </c>
    </row>
    <row r="36" spans="2:7" s="112" customFormat="1" x14ac:dyDescent="0.2">
      <c r="B36" s="102"/>
      <c r="C36" s="114"/>
      <c r="D36" s="105"/>
      <c r="E36" s="103">
        <f t="shared" si="0"/>
        <v>0</v>
      </c>
    </row>
    <row r="37" spans="2:7" s="112" customFormat="1" x14ac:dyDescent="0.2">
      <c r="B37" s="195"/>
      <c r="C37" s="196"/>
      <c r="D37" s="196"/>
      <c r="E37" s="197"/>
      <c r="G37" s="112">
        <f>+F24+F49+G51</f>
        <v>29377.976190476191</v>
      </c>
    </row>
    <row r="38" spans="2:7" s="112" customFormat="1" x14ac:dyDescent="0.2">
      <c r="B38" s="189" t="s">
        <v>50</v>
      </c>
      <c r="C38" s="190"/>
      <c r="D38" s="191"/>
      <c r="E38" s="104">
        <f>SUM(E39:E44)</f>
        <v>1500000</v>
      </c>
    </row>
    <row r="39" spans="2:7" s="112" customFormat="1" x14ac:dyDescent="0.2">
      <c r="B39" s="102" t="s">
        <v>218</v>
      </c>
      <c r="C39" s="114"/>
      <c r="D39" s="105"/>
      <c r="E39" s="103">
        <v>1500000</v>
      </c>
    </row>
    <row r="40" spans="2:7" s="112" customFormat="1" x14ac:dyDescent="0.2">
      <c r="B40" s="102"/>
      <c r="C40" s="114"/>
      <c r="D40" s="105"/>
      <c r="E40" s="103"/>
    </row>
    <row r="41" spans="2:7" s="112" customFormat="1" x14ac:dyDescent="0.2">
      <c r="B41" s="102"/>
      <c r="C41" s="114"/>
      <c r="D41" s="105"/>
      <c r="E41" s="103"/>
    </row>
    <row r="42" spans="2:7" s="112" customFormat="1" x14ac:dyDescent="0.2">
      <c r="B42" s="102"/>
      <c r="C42" s="114"/>
      <c r="D42" s="105"/>
      <c r="E42" s="103"/>
    </row>
    <row r="43" spans="2:7" s="112" customFormat="1" x14ac:dyDescent="0.2">
      <c r="B43" s="102"/>
      <c r="C43" s="114"/>
      <c r="D43" s="105"/>
      <c r="E43" s="103"/>
    </row>
    <row r="44" spans="2:7" s="112" customFormat="1" x14ac:dyDescent="0.2">
      <c r="B44" s="102"/>
      <c r="C44" s="114"/>
      <c r="D44" s="105"/>
      <c r="E44" s="103"/>
    </row>
    <row r="45" spans="2:7" s="112" customFormat="1" x14ac:dyDescent="0.2">
      <c r="B45" s="195"/>
      <c r="C45" s="196"/>
      <c r="D45" s="196"/>
      <c r="E45" s="197"/>
    </row>
    <row r="46" spans="2:7" s="118" customFormat="1" x14ac:dyDescent="0.2">
      <c r="B46" s="186" t="s">
        <v>219</v>
      </c>
      <c r="C46" s="187"/>
      <c r="D46" s="188"/>
      <c r="E46" s="116">
        <f>(E38+E23+E20+E14+E10+E6)</f>
        <v>40450000</v>
      </c>
      <c r="F46" s="117"/>
    </row>
    <row r="47" spans="2:7" s="112" customFormat="1" x14ac:dyDescent="0.2">
      <c r="B47" s="195"/>
      <c r="C47" s="196"/>
      <c r="D47" s="196"/>
      <c r="E47" s="197"/>
    </row>
    <row r="48" spans="2:7" x14ac:dyDescent="0.2">
      <c r="B48" s="192" t="s">
        <v>220</v>
      </c>
      <c r="C48" s="193"/>
      <c r="D48" s="193"/>
      <c r="E48" s="194"/>
    </row>
    <row r="49" spans="2:7" s="112" customFormat="1" x14ac:dyDescent="0.2">
      <c r="B49" s="189" t="s">
        <v>198</v>
      </c>
      <c r="C49" s="190"/>
      <c r="D49" s="191"/>
      <c r="E49" s="104">
        <f>SUM(E50:E54)</f>
        <v>865000</v>
      </c>
      <c r="F49" s="112">
        <f>+E49/56</f>
        <v>15446.428571428571</v>
      </c>
    </row>
    <row r="50" spans="2:7" x14ac:dyDescent="0.2">
      <c r="B50" s="119" t="s">
        <v>221</v>
      </c>
      <c r="C50" s="120"/>
      <c r="D50" s="121"/>
      <c r="E50" s="122">
        <v>65000</v>
      </c>
    </row>
    <row r="51" spans="2:7" x14ac:dyDescent="0.2">
      <c r="B51" s="119" t="s">
        <v>222</v>
      </c>
      <c r="C51" s="120"/>
      <c r="D51" s="121"/>
      <c r="E51" s="122">
        <v>180000</v>
      </c>
      <c r="F51" s="108">
        <v>60000</v>
      </c>
      <c r="G51" s="108">
        <f>+F51/12</f>
        <v>5000</v>
      </c>
    </row>
    <row r="52" spans="2:7" x14ac:dyDescent="0.2">
      <c r="B52" s="119" t="s">
        <v>223</v>
      </c>
      <c r="C52" s="120"/>
      <c r="D52" s="121"/>
      <c r="E52" s="122">
        <v>580000</v>
      </c>
    </row>
    <row r="53" spans="2:7" x14ac:dyDescent="0.2">
      <c r="B53" s="119" t="s">
        <v>224</v>
      </c>
      <c r="C53" s="120"/>
      <c r="D53" s="121"/>
      <c r="E53" s="122">
        <v>40000</v>
      </c>
    </row>
    <row r="54" spans="2:7" x14ac:dyDescent="0.2">
      <c r="B54" s="119" t="s">
        <v>225</v>
      </c>
      <c r="C54" s="120"/>
      <c r="D54" s="121"/>
      <c r="E54" s="122"/>
    </row>
    <row r="55" spans="2:7" x14ac:dyDescent="0.2">
      <c r="B55" s="183"/>
      <c r="C55" s="184"/>
      <c r="D55" s="184"/>
      <c r="E55" s="185"/>
    </row>
    <row r="56" spans="2:7" s="112" customFormat="1" x14ac:dyDescent="0.2">
      <c r="B56" s="189" t="s">
        <v>199</v>
      </c>
      <c r="C56" s="190"/>
      <c r="D56" s="191"/>
      <c r="E56" s="104">
        <f>SUM(E57:E65)</f>
        <v>1255000</v>
      </c>
      <c r="F56" s="123"/>
    </row>
    <row r="57" spans="2:7" x14ac:dyDescent="0.2">
      <c r="B57" s="183" t="s">
        <v>226</v>
      </c>
      <c r="C57" s="184"/>
      <c r="D57" s="185"/>
      <c r="E57" s="105"/>
    </row>
    <row r="58" spans="2:7" x14ac:dyDescent="0.2">
      <c r="B58" s="119" t="s">
        <v>227</v>
      </c>
      <c r="C58" s="124"/>
      <c r="D58" s="105"/>
      <c r="E58" s="122"/>
    </row>
    <row r="59" spans="2:7" x14ac:dyDescent="0.2">
      <c r="B59" s="119" t="s">
        <v>228</v>
      </c>
      <c r="C59" s="120"/>
      <c r="D59" s="121"/>
      <c r="E59" s="122"/>
    </row>
    <row r="60" spans="2:7" x14ac:dyDescent="0.2">
      <c r="B60" s="119" t="s">
        <v>229</v>
      </c>
      <c r="C60" s="120"/>
      <c r="D60" s="121"/>
      <c r="E60" s="122">
        <v>280000</v>
      </c>
    </row>
    <row r="61" spans="2:7" x14ac:dyDescent="0.2">
      <c r="B61" s="119" t="s">
        <v>230</v>
      </c>
      <c r="C61" s="120"/>
      <c r="D61" s="105"/>
      <c r="E61" s="122">
        <v>340000</v>
      </c>
    </row>
    <row r="62" spans="2:7" x14ac:dyDescent="0.2">
      <c r="B62" s="119" t="s">
        <v>231</v>
      </c>
      <c r="C62" s="120"/>
      <c r="D62" s="105"/>
      <c r="E62" s="122">
        <v>200000</v>
      </c>
    </row>
    <row r="63" spans="2:7" x14ac:dyDescent="0.2">
      <c r="B63" s="119" t="s">
        <v>232</v>
      </c>
      <c r="C63" s="120"/>
      <c r="D63" s="121"/>
      <c r="E63" s="122">
        <v>35000</v>
      </c>
    </row>
    <row r="64" spans="2:7" x14ac:dyDescent="0.2">
      <c r="B64" s="119" t="s">
        <v>233</v>
      </c>
      <c r="C64" s="120"/>
      <c r="D64" s="121"/>
      <c r="E64" s="122">
        <v>80000</v>
      </c>
    </row>
    <row r="65" spans="2:6" x14ac:dyDescent="0.2">
      <c r="B65" s="119" t="s">
        <v>234</v>
      </c>
      <c r="C65" s="120"/>
      <c r="D65" s="121"/>
      <c r="E65" s="122">
        <v>320000</v>
      </c>
    </row>
    <row r="66" spans="2:6" x14ac:dyDescent="0.2">
      <c r="B66" s="183"/>
      <c r="C66" s="184"/>
      <c r="D66" s="184"/>
      <c r="E66" s="185"/>
    </row>
    <row r="67" spans="2:6" s="112" customFormat="1" x14ac:dyDescent="0.2">
      <c r="B67" s="189" t="s">
        <v>201</v>
      </c>
      <c r="C67" s="190"/>
      <c r="D67" s="191"/>
      <c r="E67" s="104">
        <f>SUM(E68:E70)</f>
        <v>3050000</v>
      </c>
    </row>
    <row r="68" spans="2:6" s="112" customFormat="1" x14ac:dyDescent="0.2">
      <c r="B68" s="125" t="s">
        <v>235</v>
      </c>
      <c r="C68" s="126"/>
      <c r="D68" s="105"/>
      <c r="E68" s="104">
        <v>850000</v>
      </c>
    </row>
    <row r="69" spans="2:6" x14ac:dyDescent="0.2">
      <c r="B69" s="119" t="s">
        <v>236</v>
      </c>
      <c r="C69" s="120"/>
      <c r="D69" s="105"/>
      <c r="E69" s="122">
        <v>400000</v>
      </c>
    </row>
    <row r="70" spans="2:6" x14ac:dyDescent="0.2">
      <c r="B70" s="119" t="s">
        <v>237</v>
      </c>
      <c r="C70" s="120"/>
      <c r="D70" s="105"/>
      <c r="E70" s="122">
        <v>1800000</v>
      </c>
    </row>
    <row r="71" spans="2:6" x14ac:dyDescent="0.2">
      <c r="B71" s="183"/>
      <c r="C71" s="184"/>
      <c r="D71" s="184"/>
      <c r="E71" s="185"/>
    </row>
    <row r="72" spans="2:6" s="118" customFormat="1" x14ac:dyDescent="0.2">
      <c r="B72" s="186" t="s">
        <v>238</v>
      </c>
      <c r="C72" s="187"/>
      <c r="D72" s="188"/>
      <c r="E72" s="116">
        <f>(E49+E56+E67)</f>
        <v>5170000</v>
      </c>
    </row>
    <row r="73" spans="2:6" x14ac:dyDescent="0.2">
      <c r="B73" s="183"/>
      <c r="C73" s="184"/>
      <c r="D73" s="184"/>
      <c r="E73" s="185"/>
    </row>
    <row r="74" spans="2:6" s="127" customFormat="1" x14ac:dyDescent="0.2">
      <c r="B74" s="186" t="s">
        <v>200</v>
      </c>
      <c r="C74" s="187"/>
      <c r="D74" s="188"/>
      <c r="E74" s="116">
        <f>(E72+E46)</f>
        <v>45620000</v>
      </c>
    </row>
    <row r="76" spans="2:6" x14ac:dyDescent="0.2">
      <c r="F76" s="108">
        <v>6</v>
      </c>
    </row>
  </sheetData>
  <mergeCells count="28">
    <mergeCell ref="B10:D10"/>
    <mergeCell ref="B2:E4"/>
    <mergeCell ref="B6:D6"/>
    <mergeCell ref="B7:C7"/>
    <mergeCell ref="B8:D8"/>
    <mergeCell ref="B9:E9"/>
    <mergeCell ref="B48:E48"/>
    <mergeCell ref="B13:E13"/>
    <mergeCell ref="B14:D14"/>
    <mergeCell ref="B19:E19"/>
    <mergeCell ref="B20:D20"/>
    <mergeCell ref="B22:E22"/>
    <mergeCell ref="B23:D23"/>
    <mergeCell ref="B37:E37"/>
    <mergeCell ref="B38:D38"/>
    <mergeCell ref="B45:E45"/>
    <mergeCell ref="B46:D46"/>
    <mergeCell ref="B47:E47"/>
    <mergeCell ref="B71:E71"/>
    <mergeCell ref="B72:D72"/>
    <mergeCell ref="B73:E73"/>
    <mergeCell ref="B74:D74"/>
    <mergeCell ref="B49:D49"/>
    <mergeCell ref="B55:E55"/>
    <mergeCell ref="B56:D56"/>
    <mergeCell ref="B57:D57"/>
    <mergeCell ref="B66:E66"/>
    <mergeCell ref="B67:D67"/>
  </mergeCells>
  <pageMargins left="0.75" right="0.75" top="1" bottom="1" header="0" footer="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F4:G14"/>
  <sheetViews>
    <sheetView workbookViewId="0">
      <selection activeCell="F14" sqref="F14"/>
    </sheetView>
  </sheetViews>
  <sheetFormatPr baseColWidth="10" defaultRowHeight="12.75" x14ac:dyDescent="0.2"/>
  <sheetData>
    <row r="4" spans="6:7" x14ac:dyDescent="0.2">
      <c r="F4">
        <v>4.4000000000000004</v>
      </c>
      <c r="G4">
        <v>1.5</v>
      </c>
    </row>
    <row r="5" spans="6:7" x14ac:dyDescent="0.2">
      <c r="F5">
        <v>4.7</v>
      </c>
    </row>
    <row r="6" spans="6:7" x14ac:dyDescent="0.2">
      <c r="F6">
        <v>4.9000000000000004</v>
      </c>
    </row>
    <row r="7" spans="6:7" x14ac:dyDescent="0.2">
      <c r="F7">
        <v>4.9000000000000004</v>
      </c>
    </row>
    <row r="8" spans="6:7" x14ac:dyDescent="0.2">
      <c r="F8">
        <v>5</v>
      </c>
    </row>
    <row r="9" spans="6:7" x14ac:dyDescent="0.2">
      <c r="F9">
        <v>4.7</v>
      </c>
    </row>
    <row r="10" spans="6:7" x14ac:dyDescent="0.2">
      <c r="F10">
        <v>0</v>
      </c>
    </row>
    <row r="11" spans="6:7" x14ac:dyDescent="0.2">
      <c r="F11">
        <v>4.4000000000000004</v>
      </c>
    </row>
    <row r="12" spans="6:7" x14ac:dyDescent="0.2">
      <c r="F12">
        <v>4.5</v>
      </c>
    </row>
    <row r="13" spans="6:7" x14ac:dyDescent="0.2">
      <c r="F13">
        <v>4.4000000000000004</v>
      </c>
    </row>
    <row r="14" spans="6:7" x14ac:dyDescent="0.2">
      <c r="F14">
        <f>+AVERAGE(F4:F13)</f>
        <v>4.1899999999999995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V87"/>
  <sheetViews>
    <sheetView topLeftCell="C2" workbookViewId="0">
      <selection activeCell="F20" sqref="F20"/>
    </sheetView>
  </sheetViews>
  <sheetFormatPr baseColWidth="10" defaultRowHeight="12.75" x14ac:dyDescent="0.2"/>
  <cols>
    <col min="1" max="1" width="3.28515625" style="132" customWidth="1"/>
    <col min="2" max="2" width="4.140625" style="132" bestFit="1" customWidth="1"/>
    <col min="3" max="3" width="32.7109375" style="132" bestFit="1" customWidth="1"/>
    <col min="4" max="4" width="13.85546875" style="132" bestFit="1" customWidth="1"/>
    <col min="5" max="5" width="12.85546875" style="132" customWidth="1"/>
    <col min="6" max="6" width="15.42578125" style="132" bestFit="1" customWidth="1"/>
    <col min="7" max="7" width="12.85546875" style="132" bestFit="1" customWidth="1"/>
    <col min="8" max="8" width="11.85546875" style="132" bestFit="1" customWidth="1"/>
    <col min="9" max="9" width="18" style="132" bestFit="1" customWidth="1"/>
    <col min="10" max="10" width="10.28515625" style="132" bestFit="1" customWidth="1"/>
    <col min="11" max="11" width="11.85546875" style="132" bestFit="1" customWidth="1"/>
    <col min="12" max="13" width="10.28515625" style="132" bestFit="1" customWidth="1"/>
    <col min="14" max="14" width="9.85546875" style="132" bestFit="1" customWidth="1"/>
    <col min="15" max="16" width="13.85546875" style="132" bestFit="1" customWidth="1"/>
    <col min="17" max="17" width="7" style="132" bestFit="1" customWidth="1"/>
    <col min="18" max="18" width="30.42578125" style="132" bestFit="1" customWidth="1"/>
    <col min="19" max="19" width="14.28515625" style="132" customWidth="1"/>
    <col min="20" max="20" width="6.5703125" style="132" bestFit="1" customWidth="1"/>
    <col min="21" max="21" width="13.140625" style="132" bestFit="1" customWidth="1"/>
    <col min="22" max="22" width="4.7109375" style="132" bestFit="1" customWidth="1"/>
    <col min="23" max="256" width="11.42578125" style="132"/>
    <col min="257" max="257" width="3.28515625" style="132" customWidth="1"/>
    <col min="258" max="258" width="4.140625" style="132" bestFit="1" customWidth="1"/>
    <col min="259" max="259" width="32.7109375" style="132" bestFit="1" customWidth="1"/>
    <col min="260" max="260" width="13.85546875" style="132" bestFit="1" customWidth="1"/>
    <col min="261" max="261" width="5.5703125" style="132" bestFit="1" customWidth="1"/>
    <col min="262" max="262" width="13.85546875" style="132" bestFit="1" customWidth="1"/>
    <col min="263" max="263" width="12.85546875" style="132" bestFit="1" customWidth="1"/>
    <col min="264" max="264" width="11.85546875" style="132" bestFit="1" customWidth="1"/>
    <col min="265" max="265" width="18" style="132" bestFit="1" customWidth="1"/>
    <col min="266" max="266" width="12.85546875" style="132" bestFit="1" customWidth="1"/>
    <col min="267" max="267" width="11.85546875" style="132" bestFit="1" customWidth="1"/>
    <col min="268" max="268" width="10" style="132" bestFit="1" customWidth="1"/>
    <col min="269" max="269" width="6.5703125" style="132" bestFit="1" customWidth="1"/>
    <col min="270" max="270" width="8.5703125" style="132" bestFit="1" customWidth="1"/>
    <col min="271" max="271" width="12.85546875" style="132" bestFit="1" customWidth="1"/>
    <col min="272" max="272" width="13.85546875" style="132" bestFit="1" customWidth="1"/>
    <col min="273" max="273" width="7" style="132" bestFit="1" customWidth="1"/>
    <col min="274" max="274" width="30.42578125" style="132" bestFit="1" customWidth="1"/>
    <col min="275" max="275" width="14.28515625" style="132" customWidth="1"/>
    <col min="276" max="276" width="6.5703125" style="132" bestFit="1" customWidth="1"/>
    <col min="277" max="277" width="13.140625" style="132" bestFit="1" customWidth="1"/>
    <col min="278" max="278" width="4.7109375" style="132" bestFit="1" customWidth="1"/>
    <col min="279" max="512" width="11.42578125" style="132"/>
    <col min="513" max="513" width="3.28515625" style="132" customWidth="1"/>
    <col min="514" max="514" width="4.140625" style="132" bestFit="1" customWidth="1"/>
    <col min="515" max="515" width="32.7109375" style="132" bestFit="1" customWidth="1"/>
    <col min="516" max="516" width="13.85546875" style="132" bestFit="1" customWidth="1"/>
    <col min="517" max="517" width="5.5703125" style="132" bestFit="1" customWidth="1"/>
    <col min="518" max="518" width="13.85546875" style="132" bestFit="1" customWidth="1"/>
    <col min="519" max="519" width="12.85546875" style="132" bestFit="1" customWidth="1"/>
    <col min="520" max="520" width="11.85546875" style="132" bestFit="1" customWidth="1"/>
    <col min="521" max="521" width="18" style="132" bestFit="1" customWidth="1"/>
    <col min="522" max="522" width="12.85546875" style="132" bestFit="1" customWidth="1"/>
    <col min="523" max="523" width="11.85546875" style="132" bestFit="1" customWidth="1"/>
    <col min="524" max="524" width="10" style="132" bestFit="1" customWidth="1"/>
    <col min="525" max="525" width="6.5703125" style="132" bestFit="1" customWidth="1"/>
    <col min="526" max="526" width="8.5703125" style="132" bestFit="1" customWidth="1"/>
    <col min="527" max="527" width="12.85546875" style="132" bestFit="1" customWidth="1"/>
    <col min="528" max="528" width="13.85546875" style="132" bestFit="1" customWidth="1"/>
    <col min="529" max="529" width="7" style="132" bestFit="1" customWidth="1"/>
    <col min="530" max="530" width="30.42578125" style="132" bestFit="1" customWidth="1"/>
    <col min="531" max="531" width="14.28515625" style="132" customWidth="1"/>
    <col min="532" max="532" width="6.5703125" style="132" bestFit="1" customWidth="1"/>
    <col min="533" max="533" width="13.140625" style="132" bestFit="1" customWidth="1"/>
    <col min="534" max="534" width="4.7109375" style="132" bestFit="1" customWidth="1"/>
    <col min="535" max="768" width="11.42578125" style="132"/>
    <col min="769" max="769" width="3.28515625" style="132" customWidth="1"/>
    <col min="770" max="770" width="4.140625" style="132" bestFit="1" customWidth="1"/>
    <col min="771" max="771" width="32.7109375" style="132" bestFit="1" customWidth="1"/>
    <col min="772" max="772" width="13.85546875" style="132" bestFit="1" customWidth="1"/>
    <col min="773" max="773" width="5.5703125" style="132" bestFit="1" customWidth="1"/>
    <col min="774" max="774" width="13.85546875" style="132" bestFit="1" customWidth="1"/>
    <col min="775" max="775" width="12.85546875" style="132" bestFit="1" customWidth="1"/>
    <col min="776" max="776" width="11.85546875" style="132" bestFit="1" customWidth="1"/>
    <col min="777" max="777" width="18" style="132" bestFit="1" customWidth="1"/>
    <col min="778" max="778" width="12.85546875" style="132" bestFit="1" customWidth="1"/>
    <col min="779" max="779" width="11.85546875" style="132" bestFit="1" customWidth="1"/>
    <col min="780" max="780" width="10" style="132" bestFit="1" customWidth="1"/>
    <col min="781" max="781" width="6.5703125" style="132" bestFit="1" customWidth="1"/>
    <col min="782" max="782" width="8.5703125" style="132" bestFit="1" customWidth="1"/>
    <col min="783" max="783" width="12.85546875" style="132" bestFit="1" customWidth="1"/>
    <col min="784" max="784" width="13.85546875" style="132" bestFit="1" customWidth="1"/>
    <col min="785" max="785" width="7" style="132" bestFit="1" customWidth="1"/>
    <col min="786" max="786" width="30.42578125" style="132" bestFit="1" customWidth="1"/>
    <col min="787" max="787" width="14.28515625" style="132" customWidth="1"/>
    <col min="788" max="788" width="6.5703125" style="132" bestFit="1" customWidth="1"/>
    <col min="789" max="789" width="13.140625" style="132" bestFit="1" customWidth="1"/>
    <col min="790" max="790" width="4.7109375" style="132" bestFit="1" customWidth="1"/>
    <col min="791" max="1024" width="11.42578125" style="132"/>
    <col min="1025" max="1025" width="3.28515625" style="132" customWidth="1"/>
    <col min="1026" max="1026" width="4.140625" style="132" bestFit="1" customWidth="1"/>
    <col min="1027" max="1027" width="32.7109375" style="132" bestFit="1" customWidth="1"/>
    <col min="1028" max="1028" width="13.85546875" style="132" bestFit="1" customWidth="1"/>
    <col min="1029" max="1029" width="5.5703125" style="132" bestFit="1" customWidth="1"/>
    <col min="1030" max="1030" width="13.85546875" style="132" bestFit="1" customWidth="1"/>
    <col min="1031" max="1031" width="12.85546875" style="132" bestFit="1" customWidth="1"/>
    <col min="1032" max="1032" width="11.85546875" style="132" bestFit="1" customWidth="1"/>
    <col min="1033" max="1033" width="18" style="132" bestFit="1" customWidth="1"/>
    <col min="1034" max="1034" width="12.85546875" style="132" bestFit="1" customWidth="1"/>
    <col min="1035" max="1035" width="11.85546875" style="132" bestFit="1" customWidth="1"/>
    <col min="1036" max="1036" width="10" style="132" bestFit="1" customWidth="1"/>
    <col min="1037" max="1037" width="6.5703125" style="132" bestFit="1" customWidth="1"/>
    <col min="1038" max="1038" width="8.5703125" style="132" bestFit="1" customWidth="1"/>
    <col min="1039" max="1039" width="12.85546875" style="132" bestFit="1" customWidth="1"/>
    <col min="1040" max="1040" width="13.85546875" style="132" bestFit="1" customWidth="1"/>
    <col min="1041" max="1041" width="7" style="132" bestFit="1" customWidth="1"/>
    <col min="1042" max="1042" width="30.42578125" style="132" bestFit="1" customWidth="1"/>
    <col min="1043" max="1043" width="14.28515625" style="132" customWidth="1"/>
    <col min="1044" max="1044" width="6.5703125" style="132" bestFit="1" customWidth="1"/>
    <col min="1045" max="1045" width="13.140625" style="132" bestFit="1" customWidth="1"/>
    <col min="1046" max="1046" width="4.7109375" style="132" bestFit="1" customWidth="1"/>
    <col min="1047" max="1280" width="11.42578125" style="132"/>
    <col min="1281" max="1281" width="3.28515625" style="132" customWidth="1"/>
    <col min="1282" max="1282" width="4.140625" style="132" bestFit="1" customWidth="1"/>
    <col min="1283" max="1283" width="32.7109375" style="132" bestFit="1" customWidth="1"/>
    <col min="1284" max="1284" width="13.85546875" style="132" bestFit="1" customWidth="1"/>
    <col min="1285" max="1285" width="5.5703125" style="132" bestFit="1" customWidth="1"/>
    <col min="1286" max="1286" width="13.85546875" style="132" bestFit="1" customWidth="1"/>
    <col min="1287" max="1287" width="12.85546875" style="132" bestFit="1" customWidth="1"/>
    <col min="1288" max="1288" width="11.85546875" style="132" bestFit="1" customWidth="1"/>
    <col min="1289" max="1289" width="18" style="132" bestFit="1" customWidth="1"/>
    <col min="1290" max="1290" width="12.85546875" style="132" bestFit="1" customWidth="1"/>
    <col min="1291" max="1291" width="11.85546875" style="132" bestFit="1" customWidth="1"/>
    <col min="1292" max="1292" width="10" style="132" bestFit="1" customWidth="1"/>
    <col min="1293" max="1293" width="6.5703125" style="132" bestFit="1" customWidth="1"/>
    <col min="1294" max="1294" width="8.5703125" style="132" bestFit="1" customWidth="1"/>
    <col min="1295" max="1295" width="12.85546875" style="132" bestFit="1" customWidth="1"/>
    <col min="1296" max="1296" width="13.85546875" style="132" bestFit="1" customWidth="1"/>
    <col min="1297" max="1297" width="7" style="132" bestFit="1" customWidth="1"/>
    <col min="1298" max="1298" width="30.42578125" style="132" bestFit="1" customWidth="1"/>
    <col min="1299" max="1299" width="14.28515625" style="132" customWidth="1"/>
    <col min="1300" max="1300" width="6.5703125" style="132" bestFit="1" customWidth="1"/>
    <col min="1301" max="1301" width="13.140625" style="132" bestFit="1" customWidth="1"/>
    <col min="1302" max="1302" width="4.7109375" style="132" bestFit="1" customWidth="1"/>
    <col min="1303" max="1536" width="11.42578125" style="132"/>
    <col min="1537" max="1537" width="3.28515625" style="132" customWidth="1"/>
    <col min="1538" max="1538" width="4.140625" style="132" bestFit="1" customWidth="1"/>
    <col min="1539" max="1539" width="32.7109375" style="132" bestFit="1" customWidth="1"/>
    <col min="1540" max="1540" width="13.85546875" style="132" bestFit="1" customWidth="1"/>
    <col min="1541" max="1541" width="5.5703125" style="132" bestFit="1" customWidth="1"/>
    <col min="1542" max="1542" width="13.85546875" style="132" bestFit="1" customWidth="1"/>
    <col min="1543" max="1543" width="12.85546875" style="132" bestFit="1" customWidth="1"/>
    <col min="1544" max="1544" width="11.85546875" style="132" bestFit="1" customWidth="1"/>
    <col min="1545" max="1545" width="18" style="132" bestFit="1" customWidth="1"/>
    <col min="1546" max="1546" width="12.85546875" style="132" bestFit="1" customWidth="1"/>
    <col min="1547" max="1547" width="11.85546875" style="132" bestFit="1" customWidth="1"/>
    <col min="1548" max="1548" width="10" style="132" bestFit="1" customWidth="1"/>
    <col min="1549" max="1549" width="6.5703125" style="132" bestFit="1" customWidth="1"/>
    <col min="1550" max="1550" width="8.5703125" style="132" bestFit="1" customWidth="1"/>
    <col min="1551" max="1551" width="12.85546875" style="132" bestFit="1" customWidth="1"/>
    <col min="1552" max="1552" width="13.85546875" style="132" bestFit="1" customWidth="1"/>
    <col min="1553" max="1553" width="7" style="132" bestFit="1" customWidth="1"/>
    <col min="1554" max="1554" width="30.42578125" style="132" bestFit="1" customWidth="1"/>
    <col min="1555" max="1555" width="14.28515625" style="132" customWidth="1"/>
    <col min="1556" max="1556" width="6.5703125" style="132" bestFit="1" customWidth="1"/>
    <col min="1557" max="1557" width="13.140625" style="132" bestFit="1" customWidth="1"/>
    <col min="1558" max="1558" width="4.7109375" style="132" bestFit="1" customWidth="1"/>
    <col min="1559" max="1792" width="11.42578125" style="132"/>
    <col min="1793" max="1793" width="3.28515625" style="132" customWidth="1"/>
    <col min="1794" max="1794" width="4.140625" style="132" bestFit="1" customWidth="1"/>
    <col min="1795" max="1795" width="32.7109375" style="132" bestFit="1" customWidth="1"/>
    <col min="1796" max="1796" width="13.85546875" style="132" bestFit="1" customWidth="1"/>
    <col min="1797" max="1797" width="5.5703125" style="132" bestFit="1" customWidth="1"/>
    <col min="1798" max="1798" width="13.85546875" style="132" bestFit="1" customWidth="1"/>
    <col min="1799" max="1799" width="12.85546875" style="132" bestFit="1" customWidth="1"/>
    <col min="1800" max="1800" width="11.85546875" style="132" bestFit="1" customWidth="1"/>
    <col min="1801" max="1801" width="18" style="132" bestFit="1" customWidth="1"/>
    <col min="1802" max="1802" width="12.85546875" style="132" bestFit="1" customWidth="1"/>
    <col min="1803" max="1803" width="11.85546875" style="132" bestFit="1" customWidth="1"/>
    <col min="1804" max="1804" width="10" style="132" bestFit="1" customWidth="1"/>
    <col min="1805" max="1805" width="6.5703125" style="132" bestFit="1" customWidth="1"/>
    <col min="1806" max="1806" width="8.5703125" style="132" bestFit="1" customWidth="1"/>
    <col min="1807" max="1807" width="12.85546875" style="132" bestFit="1" customWidth="1"/>
    <col min="1808" max="1808" width="13.85546875" style="132" bestFit="1" customWidth="1"/>
    <col min="1809" max="1809" width="7" style="132" bestFit="1" customWidth="1"/>
    <col min="1810" max="1810" width="30.42578125" style="132" bestFit="1" customWidth="1"/>
    <col min="1811" max="1811" width="14.28515625" style="132" customWidth="1"/>
    <col min="1812" max="1812" width="6.5703125" style="132" bestFit="1" customWidth="1"/>
    <col min="1813" max="1813" width="13.140625" style="132" bestFit="1" customWidth="1"/>
    <col min="1814" max="1814" width="4.7109375" style="132" bestFit="1" customWidth="1"/>
    <col min="1815" max="2048" width="11.42578125" style="132"/>
    <col min="2049" max="2049" width="3.28515625" style="132" customWidth="1"/>
    <col min="2050" max="2050" width="4.140625" style="132" bestFit="1" customWidth="1"/>
    <col min="2051" max="2051" width="32.7109375" style="132" bestFit="1" customWidth="1"/>
    <col min="2052" max="2052" width="13.85546875" style="132" bestFit="1" customWidth="1"/>
    <col min="2053" max="2053" width="5.5703125" style="132" bestFit="1" customWidth="1"/>
    <col min="2054" max="2054" width="13.85546875" style="132" bestFit="1" customWidth="1"/>
    <col min="2055" max="2055" width="12.85546875" style="132" bestFit="1" customWidth="1"/>
    <col min="2056" max="2056" width="11.85546875" style="132" bestFit="1" customWidth="1"/>
    <col min="2057" max="2057" width="18" style="132" bestFit="1" customWidth="1"/>
    <col min="2058" max="2058" width="12.85546875" style="132" bestFit="1" customWidth="1"/>
    <col min="2059" max="2059" width="11.85546875" style="132" bestFit="1" customWidth="1"/>
    <col min="2060" max="2060" width="10" style="132" bestFit="1" customWidth="1"/>
    <col min="2061" max="2061" width="6.5703125" style="132" bestFit="1" customWidth="1"/>
    <col min="2062" max="2062" width="8.5703125" style="132" bestFit="1" customWidth="1"/>
    <col min="2063" max="2063" width="12.85546875" style="132" bestFit="1" customWidth="1"/>
    <col min="2064" max="2064" width="13.85546875" style="132" bestFit="1" customWidth="1"/>
    <col min="2065" max="2065" width="7" style="132" bestFit="1" customWidth="1"/>
    <col min="2066" max="2066" width="30.42578125" style="132" bestFit="1" customWidth="1"/>
    <col min="2067" max="2067" width="14.28515625" style="132" customWidth="1"/>
    <col min="2068" max="2068" width="6.5703125" style="132" bestFit="1" customWidth="1"/>
    <col min="2069" max="2069" width="13.140625" style="132" bestFit="1" customWidth="1"/>
    <col min="2070" max="2070" width="4.7109375" style="132" bestFit="1" customWidth="1"/>
    <col min="2071" max="2304" width="11.42578125" style="132"/>
    <col min="2305" max="2305" width="3.28515625" style="132" customWidth="1"/>
    <col min="2306" max="2306" width="4.140625" style="132" bestFit="1" customWidth="1"/>
    <col min="2307" max="2307" width="32.7109375" style="132" bestFit="1" customWidth="1"/>
    <col min="2308" max="2308" width="13.85546875" style="132" bestFit="1" customWidth="1"/>
    <col min="2309" max="2309" width="5.5703125" style="132" bestFit="1" customWidth="1"/>
    <col min="2310" max="2310" width="13.85546875" style="132" bestFit="1" customWidth="1"/>
    <col min="2311" max="2311" width="12.85546875" style="132" bestFit="1" customWidth="1"/>
    <col min="2312" max="2312" width="11.85546875" style="132" bestFit="1" customWidth="1"/>
    <col min="2313" max="2313" width="18" style="132" bestFit="1" customWidth="1"/>
    <col min="2314" max="2314" width="12.85546875" style="132" bestFit="1" customWidth="1"/>
    <col min="2315" max="2315" width="11.85546875" style="132" bestFit="1" customWidth="1"/>
    <col min="2316" max="2316" width="10" style="132" bestFit="1" customWidth="1"/>
    <col min="2317" max="2317" width="6.5703125" style="132" bestFit="1" customWidth="1"/>
    <col min="2318" max="2318" width="8.5703125" style="132" bestFit="1" customWidth="1"/>
    <col min="2319" max="2319" width="12.85546875" style="132" bestFit="1" customWidth="1"/>
    <col min="2320" max="2320" width="13.85546875" style="132" bestFit="1" customWidth="1"/>
    <col min="2321" max="2321" width="7" style="132" bestFit="1" customWidth="1"/>
    <col min="2322" max="2322" width="30.42578125" style="132" bestFit="1" customWidth="1"/>
    <col min="2323" max="2323" width="14.28515625" style="132" customWidth="1"/>
    <col min="2324" max="2324" width="6.5703125" style="132" bestFit="1" customWidth="1"/>
    <col min="2325" max="2325" width="13.140625" style="132" bestFit="1" customWidth="1"/>
    <col min="2326" max="2326" width="4.7109375" style="132" bestFit="1" customWidth="1"/>
    <col min="2327" max="2560" width="11.42578125" style="132"/>
    <col min="2561" max="2561" width="3.28515625" style="132" customWidth="1"/>
    <col min="2562" max="2562" width="4.140625" style="132" bestFit="1" customWidth="1"/>
    <col min="2563" max="2563" width="32.7109375" style="132" bestFit="1" customWidth="1"/>
    <col min="2564" max="2564" width="13.85546875" style="132" bestFit="1" customWidth="1"/>
    <col min="2565" max="2565" width="5.5703125" style="132" bestFit="1" customWidth="1"/>
    <col min="2566" max="2566" width="13.85546875" style="132" bestFit="1" customWidth="1"/>
    <col min="2567" max="2567" width="12.85546875" style="132" bestFit="1" customWidth="1"/>
    <col min="2568" max="2568" width="11.85546875" style="132" bestFit="1" customWidth="1"/>
    <col min="2569" max="2569" width="18" style="132" bestFit="1" customWidth="1"/>
    <col min="2570" max="2570" width="12.85546875" style="132" bestFit="1" customWidth="1"/>
    <col min="2571" max="2571" width="11.85546875" style="132" bestFit="1" customWidth="1"/>
    <col min="2572" max="2572" width="10" style="132" bestFit="1" customWidth="1"/>
    <col min="2573" max="2573" width="6.5703125" style="132" bestFit="1" customWidth="1"/>
    <col min="2574" max="2574" width="8.5703125" style="132" bestFit="1" customWidth="1"/>
    <col min="2575" max="2575" width="12.85546875" style="132" bestFit="1" customWidth="1"/>
    <col min="2576" max="2576" width="13.85546875" style="132" bestFit="1" customWidth="1"/>
    <col min="2577" max="2577" width="7" style="132" bestFit="1" customWidth="1"/>
    <col min="2578" max="2578" width="30.42578125" style="132" bestFit="1" customWidth="1"/>
    <col min="2579" max="2579" width="14.28515625" style="132" customWidth="1"/>
    <col min="2580" max="2580" width="6.5703125" style="132" bestFit="1" customWidth="1"/>
    <col min="2581" max="2581" width="13.140625" style="132" bestFit="1" customWidth="1"/>
    <col min="2582" max="2582" width="4.7109375" style="132" bestFit="1" customWidth="1"/>
    <col min="2583" max="2816" width="11.42578125" style="132"/>
    <col min="2817" max="2817" width="3.28515625" style="132" customWidth="1"/>
    <col min="2818" max="2818" width="4.140625" style="132" bestFit="1" customWidth="1"/>
    <col min="2819" max="2819" width="32.7109375" style="132" bestFit="1" customWidth="1"/>
    <col min="2820" max="2820" width="13.85546875" style="132" bestFit="1" customWidth="1"/>
    <col min="2821" max="2821" width="5.5703125" style="132" bestFit="1" customWidth="1"/>
    <col min="2822" max="2822" width="13.85546875" style="132" bestFit="1" customWidth="1"/>
    <col min="2823" max="2823" width="12.85546875" style="132" bestFit="1" customWidth="1"/>
    <col min="2824" max="2824" width="11.85546875" style="132" bestFit="1" customWidth="1"/>
    <col min="2825" max="2825" width="18" style="132" bestFit="1" customWidth="1"/>
    <col min="2826" max="2826" width="12.85546875" style="132" bestFit="1" customWidth="1"/>
    <col min="2827" max="2827" width="11.85546875" style="132" bestFit="1" customWidth="1"/>
    <col min="2828" max="2828" width="10" style="132" bestFit="1" customWidth="1"/>
    <col min="2829" max="2829" width="6.5703125" style="132" bestFit="1" customWidth="1"/>
    <col min="2830" max="2830" width="8.5703125" style="132" bestFit="1" customWidth="1"/>
    <col min="2831" max="2831" width="12.85546875" style="132" bestFit="1" customWidth="1"/>
    <col min="2832" max="2832" width="13.85546875" style="132" bestFit="1" customWidth="1"/>
    <col min="2833" max="2833" width="7" style="132" bestFit="1" customWidth="1"/>
    <col min="2834" max="2834" width="30.42578125" style="132" bestFit="1" customWidth="1"/>
    <col min="2835" max="2835" width="14.28515625" style="132" customWidth="1"/>
    <col min="2836" max="2836" width="6.5703125" style="132" bestFit="1" customWidth="1"/>
    <col min="2837" max="2837" width="13.140625" style="132" bestFit="1" customWidth="1"/>
    <col min="2838" max="2838" width="4.7109375" style="132" bestFit="1" customWidth="1"/>
    <col min="2839" max="3072" width="11.42578125" style="132"/>
    <col min="3073" max="3073" width="3.28515625" style="132" customWidth="1"/>
    <col min="3074" max="3074" width="4.140625" style="132" bestFit="1" customWidth="1"/>
    <col min="3075" max="3075" width="32.7109375" style="132" bestFit="1" customWidth="1"/>
    <col min="3076" max="3076" width="13.85546875" style="132" bestFit="1" customWidth="1"/>
    <col min="3077" max="3077" width="5.5703125" style="132" bestFit="1" customWidth="1"/>
    <col min="3078" max="3078" width="13.85546875" style="132" bestFit="1" customWidth="1"/>
    <col min="3079" max="3079" width="12.85546875" style="132" bestFit="1" customWidth="1"/>
    <col min="3080" max="3080" width="11.85546875" style="132" bestFit="1" customWidth="1"/>
    <col min="3081" max="3081" width="18" style="132" bestFit="1" customWidth="1"/>
    <col min="3082" max="3082" width="12.85546875" style="132" bestFit="1" customWidth="1"/>
    <col min="3083" max="3083" width="11.85546875" style="132" bestFit="1" customWidth="1"/>
    <col min="3084" max="3084" width="10" style="132" bestFit="1" customWidth="1"/>
    <col min="3085" max="3085" width="6.5703125" style="132" bestFit="1" customWidth="1"/>
    <col min="3086" max="3086" width="8.5703125" style="132" bestFit="1" customWidth="1"/>
    <col min="3087" max="3087" width="12.85546875" style="132" bestFit="1" customWidth="1"/>
    <col min="3088" max="3088" width="13.85546875" style="132" bestFit="1" customWidth="1"/>
    <col min="3089" max="3089" width="7" style="132" bestFit="1" customWidth="1"/>
    <col min="3090" max="3090" width="30.42578125" style="132" bestFit="1" customWidth="1"/>
    <col min="3091" max="3091" width="14.28515625" style="132" customWidth="1"/>
    <col min="3092" max="3092" width="6.5703125" style="132" bestFit="1" customWidth="1"/>
    <col min="3093" max="3093" width="13.140625" style="132" bestFit="1" customWidth="1"/>
    <col min="3094" max="3094" width="4.7109375" style="132" bestFit="1" customWidth="1"/>
    <col min="3095" max="3328" width="11.42578125" style="132"/>
    <col min="3329" max="3329" width="3.28515625" style="132" customWidth="1"/>
    <col min="3330" max="3330" width="4.140625" style="132" bestFit="1" customWidth="1"/>
    <col min="3331" max="3331" width="32.7109375" style="132" bestFit="1" customWidth="1"/>
    <col min="3332" max="3332" width="13.85546875" style="132" bestFit="1" customWidth="1"/>
    <col min="3333" max="3333" width="5.5703125" style="132" bestFit="1" customWidth="1"/>
    <col min="3334" max="3334" width="13.85546875" style="132" bestFit="1" customWidth="1"/>
    <col min="3335" max="3335" width="12.85546875" style="132" bestFit="1" customWidth="1"/>
    <col min="3336" max="3336" width="11.85546875" style="132" bestFit="1" customWidth="1"/>
    <col min="3337" max="3337" width="18" style="132" bestFit="1" customWidth="1"/>
    <col min="3338" max="3338" width="12.85546875" style="132" bestFit="1" customWidth="1"/>
    <col min="3339" max="3339" width="11.85546875" style="132" bestFit="1" customWidth="1"/>
    <col min="3340" max="3340" width="10" style="132" bestFit="1" customWidth="1"/>
    <col min="3341" max="3341" width="6.5703125" style="132" bestFit="1" customWidth="1"/>
    <col min="3342" max="3342" width="8.5703125" style="132" bestFit="1" customWidth="1"/>
    <col min="3343" max="3343" width="12.85546875" style="132" bestFit="1" customWidth="1"/>
    <col min="3344" max="3344" width="13.85546875" style="132" bestFit="1" customWidth="1"/>
    <col min="3345" max="3345" width="7" style="132" bestFit="1" customWidth="1"/>
    <col min="3346" max="3346" width="30.42578125" style="132" bestFit="1" customWidth="1"/>
    <col min="3347" max="3347" width="14.28515625" style="132" customWidth="1"/>
    <col min="3348" max="3348" width="6.5703125" style="132" bestFit="1" customWidth="1"/>
    <col min="3349" max="3349" width="13.140625" style="132" bestFit="1" customWidth="1"/>
    <col min="3350" max="3350" width="4.7109375" style="132" bestFit="1" customWidth="1"/>
    <col min="3351" max="3584" width="11.42578125" style="132"/>
    <col min="3585" max="3585" width="3.28515625" style="132" customWidth="1"/>
    <col min="3586" max="3586" width="4.140625" style="132" bestFit="1" customWidth="1"/>
    <col min="3587" max="3587" width="32.7109375" style="132" bestFit="1" customWidth="1"/>
    <col min="3588" max="3588" width="13.85546875" style="132" bestFit="1" customWidth="1"/>
    <col min="3589" max="3589" width="5.5703125" style="132" bestFit="1" customWidth="1"/>
    <col min="3590" max="3590" width="13.85546875" style="132" bestFit="1" customWidth="1"/>
    <col min="3591" max="3591" width="12.85546875" style="132" bestFit="1" customWidth="1"/>
    <col min="3592" max="3592" width="11.85546875" style="132" bestFit="1" customWidth="1"/>
    <col min="3593" max="3593" width="18" style="132" bestFit="1" customWidth="1"/>
    <col min="3594" max="3594" width="12.85546875" style="132" bestFit="1" customWidth="1"/>
    <col min="3595" max="3595" width="11.85546875" style="132" bestFit="1" customWidth="1"/>
    <col min="3596" max="3596" width="10" style="132" bestFit="1" customWidth="1"/>
    <col min="3597" max="3597" width="6.5703125" style="132" bestFit="1" customWidth="1"/>
    <col min="3598" max="3598" width="8.5703125" style="132" bestFit="1" customWidth="1"/>
    <col min="3599" max="3599" width="12.85546875" style="132" bestFit="1" customWidth="1"/>
    <col min="3600" max="3600" width="13.85546875" style="132" bestFit="1" customWidth="1"/>
    <col min="3601" max="3601" width="7" style="132" bestFit="1" customWidth="1"/>
    <col min="3602" max="3602" width="30.42578125" style="132" bestFit="1" customWidth="1"/>
    <col min="3603" max="3603" width="14.28515625" style="132" customWidth="1"/>
    <col min="3604" max="3604" width="6.5703125" style="132" bestFit="1" customWidth="1"/>
    <col min="3605" max="3605" width="13.140625" style="132" bestFit="1" customWidth="1"/>
    <col min="3606" max="3606" width="4.7109375" style="132" bestFit="1" customWidth="1"/>
    <col min="3607" max="3840" width="11.42578125" style="132"/>
    <col min="3841" max="3841" width="3.28515625" style="132" customWidth="1"/>
    <col min="3842" max="3842" width="4.140625" style="132" bestFit="1" customWidth="1"/>
    <col min="3843" max="3843" width="32.7109375" style="132" bestFit="1" customWidth="1"/>
    <col min="3844" max="3844" width="13.85546875" style="132" bestFit="1" customWidth="1"/>
    <col min="3845" max="3845" width="5.5703125" style="132" bestFit="1" customWidth="1"/>
    <col min="3846" max="3846" width="13.85546875" style="132" bestFit="1" customWidth="1"/>
    <col min="3847" max="3847" width="12.85546875" style="132" bestFit="1" customWidth="1"/>
    <col min="3848" max="3848" width="11.85546875" style="132" bestFit="1" customWidth="1"/>
    <col min="3849" max="3849" width="18" style="132" bestFit="1" customWidth="1"/>
    <col min="3850" max="3850" width="12.85546875" style="132" bestFit="1" customWidth="1"/>
    <col min="3851" max="3851" width="11.85546875" style="132" bestFit="1" customWidth="1"/>
    <col min="3852" max="3852" width="10" style="132" bestFit="1" customWidth="1"/>
    <col min="3853" max="3853" width="6.5703125" style="132" bestFit="1" customWidth="1"/>
    <col min="3854" max="3854" width="8.5703125" style="132" bestFit="1" customWidth="1"/>
    <col min="3855" max="3855" width="12.85546875" style="132" bestFit="1" customWidth="1"/>
    <col min="3856" max="3856" width="13.85546875" style="132" bestFit="1" customWidth="1"/>
    <col min="3857" max="3857" width="7" style="132" bestFit="1" customWidth="1"/>
    <col min="3858" max="3858" width="30.42578125" style="132" bestFit="1" customWidth="1"/>
    <col min="3859" max="3859" width="14.28515625" style="132" customWidth="1"/>
    <col min="3860" max="3860" width="6.5703125" style="132" bestFit="1" customWidth="1"/>
    <col min="3861" max="3861" width="13.140625" style="132" bestFit="1" customWidth="1"/>
    <col min="3862" max="3862" width="4.7109375" style="132" bestFit="1" customWidth="1"/>
    <col min="3863" max="4096" width="11.42578125" style="132"/>
    <col min="4097" max="4097" width="3.28515625" style="132" customWidth="1"/>
    <col min="4098" max="4098" width="4.140625" style="132" bestFit="1" customWidth="1"/>
    <col min="4099" max="4099" width="32.7109375" style="132" bestFit="1" customWidth="1"/>
    <col min="4100" max="4100" width="13.85546875" style="132" bestFit="1" customWidth="1"/>
    <col min="4101" max="4101" width="5.5703125" style="132" bestFit="1" customWidth="1"/>
    <col min="4102" max="4102" width="13.85546875" style="132" bestFit="1" customWidth="1"/>
    <col min="4103" max="4103" width="12.85546875" style="132" bestFit="1" customWidth="1"/>
    <col min="4104" max="4104" width="11.85546875" style="132" bestFit="1" customWidth="1"/>
    <col min="4105" max="4105" width="18" style="132" bestFit="1" customWidth="1"/>
    <col min="4106" max="4106" width="12.85546875" style="132" bestFit="1" customWidth="1"/>
    <col min="4107" max="4107" width="11.85546875" style="132" bestFit="1" customWidth="1"/>
    <col min="4108" max="4108" width="10" style="132" bestFit="1" customWidth="1"/>
    <col min="4109" max="4109" width="6.5703125" style="132" bestFit="1" customWidth="1"/>
    <col min="4110" max="4110" width="8.5703125" style="132" bestFit="1" customWidth="1"/>
    <col min="4111" max="4111" width="12.85546875" style="132" bestFit="1" customWidth="1"/>
    <col min="4112" max="4112" width="13.85546875" style="132" bestFit="1" customWidth="1"/>
    <col min="4113" max="4113" width="7" style="132" bestFit="1" customWidth="1"/>
    <col min="4114" max="4114" width="30.42578125" style="132" bestFit="1" customWidth="1"/>
    <col min="4115" max="4115" width="14.28515625" style="132" customWidth="1"/>
    <col min="4116" max="4116" width="6.5703125" style="132" bestFit="1" customWidth="1"/>
    <col min="4117" max="4117" width="13.140625" style="132" bestFit="1" customWidth="1"/>
    <col min="4118" max="4118" width="4.7109375" style="132" bestFit="1" customWidth="1"/>
    <col min="4119" max="4352" width="11.42578125" style="132"/>
    <col min="4353" max="4353" width="3.28515625" style="132" customWidth="1"/>
    <col min="4354" max="4354" width="4.140625" style="132" bestFit="1" customWidth="1"/>
    <col min="4355" max="4355" width="32.7109375" style="132" bestFit="1" customWidth="1"/>
    <col min="4356" max="4356" width="13.85546875" style="132" bestFit="1" customWidth="1"/>
    <col min="4357" max="4357" width="5.5703125" style="132" bestFit="1" customWidth="1"/>
    <col min="4358" max="4358" width="13.85546875" style="132" bestFit="1" customWidth="1"/>
    <col min="4359" max="4359" width="12.85546875" style="132" bestFit="1" customWidth="1"/>
    <col min="4360" max="4360" width="11.85546875" style="132" bestFit="1" customWidth="1"/>
    <col min="4361" max="4361" width="18" style="132" bestFit="1" customWidth="1"/>
    <col min="4362" max="4362" width="12.85546875" style="132" bestFit="1" customWidth="1"/>
    <col min="4363" max="4363" width="11.85546875" style="132" bestFit="1" customWidth="1"/>
    <col min="4364" max="4364" width="10" style="132" bestFit="1" customWidth="1"/>
    <col min="4365" max="4365" width="6.5703125" style="132" bestFit="1" customWidth="1"/>
    <col min="4366" max="4366" width="8.5703125" style="132" bestFit="1" customWidth="1"/>
    <col min="4367" max="4367" width="12.85546875" style="132" bestFit="1" customWidth="1"/>
    <col min="4368" max="4368" width="13.85546875" style="132" bestFit="1" customWidth="1"/>
    <col min="4369" max="4369" width="7" style="132" bestFit="1" customWidth="1"/>
    <col min="4370" max="4370" width="30.42578125" style="132" bestFit="1" customWidth="1"/>
    <col min="4371" max="4371" width="14.28515625" style="132" customWidth="1"/>
    <col min="4372" max="4372" width="6.5703125" style="132" bestFit="1" customWidth="1"/>
    <col min="4373" max="4373" width="13.140625" style="132" bestFit="1" customWidth="1"/>
    <col min="4374" max="4374" width="4.7109375" style="132" bestFit="1" customWidth="1"/>
    <col min="4375" max="4608" width="11.42578125" style="132"/>
    <col min="4609" max="4609" width="3.28515625" style="132" customWidth="1"/>
    <col min="4610" max="4610" width="4.140625" style="132" bestFit="1" customWidth="1"/>
    <col min="4611" max="4611" width="32.7109375" style="132" bestFit="1" customWidth="1"/>
    <col min="4612" max="4612" width="13.85546875" style="132" bestFit="1" customWidth="1"/>
    <col min="4613" max="4613" width="5.5703125" style="132" bestFit="1" customWidth="1"/>
    <col min="4614" max="4614" width="13.85546875" style="132" bestFit="1" customWidth="1"/>
    <col min="4615" max="4615" width="12.85546875" style="132" bestFit="1" customWidth="1"/>
    <col min="4616" max="4616" width="11.85546875" style="132" bestFit="1" customWidth="1"/>
    <col min="4617" max="4617" width="18" style="132" bestFit="1" customWidth="1"/>
    <col min="4618" max="4618" width="12.85546875" style="132" bestFit="1" customWidth="1"/>
    <col min="4619" max="4619" width="11.85546875" style="132" bestFit="1" customWidth="1"/>
    <col min="4620" max="4620" width="10" style="132" bestFit="1" customWidth="1"/>
    <col min="4621" max="4621" width="6.5703125" style="132" bestFit="1" customWidth="1"/>
    <col min="4622" max="4622" width="8.5703125" style="132" bestFit="1" customWidth="1"/>
    <col min="4623" max="4623" width="12.85546875" style="132" bestFit="1" customWidth="1"/>
    <col min="4624" max="4624" width="13.85546875" style="132" bestFit="1" customWidth="1"/>
    <col min="4625" max="4625" width="7" style="132" bestFit="1" customWidth="1"/>
    <col min="4626" max="4626" width="30.42578125" style="132" bestFit="1" customWidth="1"/>
    <col min="4627" max="4627" width="14.28515625" style="132" customWidth="1"/>
    <col min="4628" max="4628" width="6.5703125" style="132" bestFit="1" customWidth="1"/>
    <col min="4629" max="4629" width="13.140625" style="132" bestFit="1" customWidth="1"/>
    <col min="4630" max="4630" width="4.7109375" style="132" bestFit="1" customWidth="1"/>
    <col min="4631" max="4864" width="11.42578125" style="132"/>
    <col min="4865" max="4865" width="3.28515625" style="132" customWidth="1"/>
    <col min="4866" max="4866" width="4.140625" style="132" bestFit="1" customWidth="1"/>
    <col min="4867" max="4867" width="32.7109375" style="132" bestFit="1" customWidth="1"/>
    <col min="4868" max="4868" width="13.85546875" style="132" bestFit="1" customWidth="1"/>
    <col min="4869" max="4869" width="5.5703125" style="132" bestFit="1" customWidth="1"/>
    <col min="4870" max="4870" width="13.85546875" style="132" bestFit="1" customWidth="1"/>
    <col min="4871" max="4871" width="12.85546875" style="132" bestFit="1" customWidth="1"/>
    <col min="4872" max="4872" width="11.85546875" style="132" bestFit="1" customWidth="1"/>
    <col min="4873" max="4873" width="18" style="132" bestFit="1" customWidth="1"/>
    <col min="4874" max="4874" width="12.85546875" style="132" bestFit="1" customWidth="1"/>
    <col min="4875" max="4875" width="11.85546875" style="132" bestFit="1" customWidth="1"/>
    <col min="4876" max="4876" width="10" style="132" bestFit="1" customWidth="1"/>
    <col min="4877" max="4877" width="6.5703125" style="132" bestFit="1" customWidth="1"/>
    <col min="4878" max="4878" width="8.5703125" style="132" bestFit="1" customWidth="1"/>
    <col min="4879" max="4879" width="12.85546875" style="132" bestFit="1" customWidth="1"/>
    <col min="4880" max="4880" width="13.85546875" style="132" bestFit="1" customWidth="1"/>
    <col min="4881" max="4881" width="7" style="132" bestFit="1" customWidth="1"/>
    <col min="4882" max="4882" width="30.42578125" style="132" bestFit="1" customWidth="1"/>
    <col min="4883" max="4883" width="14.28515625" style="132" customWidth="1"/>
    <col min="4884" max="4884" width="6.5703125" style="132" bestFit="1" customWidth="1"/>
    <col min="4885" max="4885" width="13.140625" style="132" bestFit="1" customWidth="1"/>
    <col min="4886" max="4886" width="4.7109375" style="132" bestFit="1" customWidth="1"/>
    <col min="4887" max="5120" width="11.42578125" style="132"/>
    <col min="5121" max="5121" width="3.28515625" style="132" customWidth="1"/>
    <col min="5122" max="5122" width="4.140625" style="132" bestFit="1" customWidth="1"/>
    <col min="5123" max="5123" width="32.7109375" style="132" bestFit="1" customWidth="1"/>
    <col min="5124" max="5124" width="13.85546875" style="132" bestFit="1" customWidth="1"/>
    <col min="5125" max="5125" width="5.5703125" style="132" bestFit="1" customWidth="1"/>
    <col min="5126" max="5126" width="13.85546875" style="132" bestFit="1" customWidth="1"/>
    <col min="5127" max="5127" width="12.85546875" style="132" bestFit="1" customWidth="1"/>
    <col min="5128" max="5128" width="11.85546875" style="132" bestFit="1" customWidth="1"/>
    <col min="5129" max="5129" width="18" style="132" bestFit="1" customWidth="1"/>
    <col min="5130" max="5130" width="12.85546875" style="132" bestFit="1" customWidth="1"/>
    <col min="5131" max="5131" width="11.85546875" style="132" bestFit="1" customWidth="1"/>
    <col min="5132" max="5132" width="10" style="132" bestFit="1" customWidth="1"/>
    <col min="5133" max="5133" width="6.5703125" style="132" bestFit="1" customWidth="1"/>
    <col min="5134" max="5134" width="8.5703125" style="132" bestFit="1" customWidth="1"/>
    <col min="5135" max="5135" width="12.85546875" style="132" bestFit="1" customWidth="1"/>
    <col min="5136" max="5136" width="13.85546875" style="132" bestFit="1" customWidth="1"/>
    <col min="5137" max="5137" width="7" style="132" bestFit="1" customWidth="1"/>
    <col min="5138" max="5138" width="30.42578125" style="132" bestFit="1" customWidth="1"/>
    <col min="5139" max="5139" width="14.28515625" style="132" customWidth="1"/>
    <col min="5140" max="5140" width="6.5703125" style="132" bestFit="1" customWidth="1"/>
    <col min="5141" max="5141" width="13.140625" style="132" bestFit="1" customWidth="1"/>
    <col min="5142" max="5142" width="4.7109375" style="132" bestFit="1" customWidth="1"/>
    <col min="5143" max="5376" width="11.42578125" style="132"/>
    <col min="5377" max="5377" width="3.28515625" style="132" customWidth="1"/>
    <col min="5378" max="5378" width="4.140625" style="132" bestFit="1" customWidth="1"/>
    <col min="5379" max="5379" width="32.7109375" style="132" bestFit="1" customWidth="1"/>
    <col min="5380" max="5380" width="13.85546875" style="132" bestFit="1" customWidth="1"/>
    <col min="5381" max="5381" width="5.5703125" style="132" bestFit="1" customWidth="1"/>
    <col min="5382" max="5382" width="13.85546875" style="132" bestFit="1" customWidth="1"/>
    <col min="5383" max="5383" width="12.85546875" style="132" bestFit="1" customWidth="1"/>
    <col min="5384" max="5384" width="11.85546875" style="132" bestFit="1" customWidth="1"/>
    <col min="5385" max="5385" width="18" style="132" bestFit="1" customWidth="1"/>
    <col min="5386" max="5386" width="12.85546875" style="132" bestFit="1" customWidth="1"/>
    <col min="5387" max="5387" width="11.85546875" style="132" bestFit="1" customWidth="1"/>
    <col min="5388" max="5388" width="10" style="132" bestFit="1" customWidth="1"/>
    <col min="5389" max="5389" width="6.5703125" style="132" bestFit="1" customWidth="1"/>
    <col min="5390" max="5390" width="8.5703125" style="132" bestFit="1" customWidth="1"/>
    <col min="5391" max="5391" width="12.85546875" style="132" bestFit="1" customWidth="1"/>
    <col min="5392" max="5392" width="13.85546875" style="132" bestFit="1" customWidth="1"/>
    <col min="5393" max="5393" width="7" style="132" bestFit="1" customWidth="1"/>
    <col min="5394" max="5394" width="30.42578125" style="132" bestFit="1" customWidth="1"/>
    <col min="5395" max="5395" width="14.28515625" style="132" customWidth="1"/>
    <col min="5396" max="5396" width="6.5703125" style="132" bestFit="1" customWidth="1"/>
    <col min="5397" max="5397" width="13.140625" style="132" bestFit="1" customWidth="1"/>
    <col min="5398" max="5398" width="4.7109375" style="132" bestFit="1" customWidth="1"/>
    <col min="5399" max="5632" width="11.42578125" style="132"/>
    <col min="5633" max="5633" width="3.28515625" style="132" customWidth="1"/>
    <col min="5634" max="5634" width="4.140625" style="132" bestFit="1" customWidth="1"/>
    <col min="5635" max="5635" width="32.7109375" style="132" bestFit="1" customWidth="1"/>
    <col min="5636" max="5636" width="13.85546875" style="132" bestFit="1" customWidth="1"/>
    <col min="5637" max="5637" width="5.5703125" style="132" bestFit="1" customWidth="1"/>
    <col min="5638" max="5638" width="13.85546875" style="132" bestFit="1" customWidth="1"/>
    <col min="5639" max="5639" width="12.85546875" style="132" bestFit="1" customWidth="1"/>
    <col min="5640" max="5640" width="11.85546875" style="132" bestFit="1" customWidth="1"/>
    <col min="5641" max="5641" width="18" style="132" bestFit="1" customWidth="1"/>
    <col min="5642" max="5642" width="12.85546875" style="132" bestFit="1" customWidth="1"/>
    <col min="5643" max="5643" width="11.85546875" style="132" bestFit="1" customWidth="1"/>
    <col min="5644" max="5644" width="10" style="132" bestFit="1" customWidth="1"/>
    <col min="5645" max="5645" width="6.5703125" style="132" bestFit="1" customWidth="1"/>
    <col min="5646" max="5646" width="8.5703125" style="132" bestFit="1" customWidth="1"/>
    <col min="5647" max="5647" width="12.85546875" style="132" bestFit="1" customWidth="1"/>
    <col min="5648" max="5648" width="13.85546875" style="132" bestFit="1" customWidth="1"/>
    <col min="5649" max="5649" width="7" style="132" bestFit="1" customWidth="1"/>
    <col min="5650" max="5650" width="30.42578125" style="132" bestFit="1" customWidth="1"/>
    <col min="5651" max="5651" width="14.28515625" style="132" customWidth="1"/>
    <col min="5652" max="5652" width="6.5703125" style="132" bestFit="1" customWidth="1"/>
    <col min="5653" max="5653" width="13.140625" style="132" bestFit="1" customWidth="1"/>
    <col min="5654" max="5654" width="4.7109375" style="132" bestFit="1" customWidth="1"/>
    <col min="5655" max="5888" width="11.42578125" style="132"/>
    <col min="5889" max="5889" width="3.28515625" style="132" customWidth="1"/>
    <col min="5890" max="5890" width="4.140625" style="132" bestFit="1" customWidth="1"/>
    <col min="5891" max="5891" width="32.7109375" style="132" bestFit="1" customWidth="1"/>
    <col min="5892" max="5892" width="13.85546875" style="132" bestFit="1" customWidth="1"/>
    <col min="5893" max="5893" width="5.5703125" style="132" bestFit="1" customWidth="1"/>
    <col min="5894" max="5894" width="13.85546875" style="132" bestFit="1" customWidth="1"/>
    <col min="5895" max="5895" width="12.85546875" style="132" bestFit="1" customWidth="1"/>
    <col min="5896" max="5896" width="11.85546875" style="132" bestFit="1" customWidth="1"/>
    <col min="5897" max="5897" width="18" style="132" bestFit="1" customWidth="1"/>
    <col min="5898" max="5898" width="12.85546875" style="132" bestFit="1" customWidth="1"/>
    <col min="5899" max="5899" width="11.85546875" style="132" bestFit="1" customWidth="1"/>
    <col min="5900" max="5900" width="10" style="132" bestFit="1" customWidth="1"/>
    <col min="5901" max="5901" width="6.5703125" style="132" bestFit="1" customWidth="1"/>
    <col min="5902" max="5902" width="8.5703125" style="132" bestFit="1" customWidth="1"/>
    <col min="5903" max="5903" width="12.85546875" style="132" bestFit="1" customWidth="1"/>
    <col min="5904" max="5904" width="13.85546875" style="132" bestFit="1" customWidth="1"/>
    <col min="5905" max="5905" width="7" style="132" bestFit="1" customWidth="1"/>
    <col min="5906" max="5906" width="30.42578125" style="132" bestFit="1" customWidth="1"/>
    <col min="5907" max="5907" width="14.28515625" style="132" customWidth="1"/>
    <col min="5908" max="5908" width="6.5703125" style="132" bestFit="1" customWidth="1"/>
    <col min="5909" max="5909" width="13.140625" style="132" bestFit="1" customWidth="1"/>
    <col min="5910" max="5910" width="4.7109375" style="132" bestFit="1" customWidth="1"/>
    <col min="5911" max="6144" width="11.42578125" style="132"/>
    <col min="6145" max="6145" width="3.28515625" style="132" customWidth="1"/>
    <col min="6146" max="6146" width="4.140625" style="132" bestFit="1" customWidth="1"/>
    <col min="6147" max="6147" width="32.7109375" style="132" bestFit="1" customWidth="1"/>
    <col min="6148" max="6148" width="13.85546875" style="132" bestFit="1" customWidth="1"/>
    <col min="6149" max="6149" width="5.5703125" style="132" bestFit="1" customWidth="1"/>
    <col min="6150" max="6150" width="13.85546875" style="132" bestFit="1" customWidth="1"/>
    <col min="6151" max="6151" width="12.85546875" style="132" bestFit="1" customWidth="1"/>
    <col min="6152" max="6152" width="11.85546875" style="132" bestFit="1" customWidth="1"/>
    <col min="6153" max="6153" width="18" style="132" bestFit="1" customWidth="1"/>
    <col min="6154" max="6154" width="12.85546875" style="132" bestFit="1" customWidth="1"/>
    <col min="6155" max="6155" width="11.85546875" style="132" bestFit="1" customWidth="1"/>
    <col min="6156" max="6156" width="10" style="132" bestFit="1" customWidth="1"/>
    <col min="6157" max="6157" width="6.5703125" style="132" bestFit="1" customWidth="1"/>
    <col min="6158" max="6158" width="8.5703125" style="132" bestFit="1" customWidth="1"/>
    <col min="6159" max="6159" width="12.85546875" style="132" bestFit="1" customWidth="1"/>
    <col min="6160" max="6160" width="13.85546875" style="132" bestFit="1" customWidth="1"/>
    <col min="6161" max="6161" width="7" style="132" bestFit="1" customWidth="1"/>
    <col min="6162" max="6162" width="30.42578125" style="132" bestFit="1" customWidth="1"/>
    <col min="6163" max="6163" width="14.28515625" style="132" customWidth="1"/>
    <col min="6164" max="6164" width="6.5703125" style="132" bestFit="1" customWidth="1"/>
    <col min="6165" max="6165" width="13.140625" style="132" bestFit="1" customWidth="1"/>
    <col min="6166" max="6166" width="4.7109375" style="132" bestFit="1" customWidth="1"/>
    <col min="6167" max="6400" width="11.42578125" style="132"/>
    <col min="6401" max="6401" width="3.28515625" style="132" customWidth="1"/>
    <col min="6402" max="6402" width="4.140625" style="132" bestFit="1" customWidth="1"/>
    <col min="6403" max="6403" width="32.7109375" style="132" bestFit="1" customWidth="1"/>
    <col min="6404" max="6404" width="13.85546875" style="132" bestFit="1" customWidth="1"/>
    <col min="6405" max="6405" width="5.5703125" style="132" bestFit="1" customWidth="1"/>
    <col min="6406" max="6406" width="13.85546875" style="132" bestFit="1" customWidth="1"/>
    <col min="6407" max="6407" width="12.85546875" style="132" bestFit="1" customWidth="1"/>
    <col min="6408" max="6408" width="11.85546875" style="132" bestFit="1" customWidth="1"/>
    <col min="6409" max="6409" width="18" style="132" bestFit="1" customWidth="1"/>
    <col min="6410" max="6410" width="12.85546875" style="132" bestFit="1" customWidth="1"/>
    <col min="6411" max="6411" width="11.85546875" style="132" bestFit="1" customWidth="1"/>
    <col min="6412" max="6412" width="10" style="132" bestFit="1" customWidth="1"/>
    <col min="6413" max="6413" width="6.5703125" style="132" bestFit="1" customWidth="1"/>
    <col min="6414" max="6414" width="8.5703125" style="132" bestFit="1" customWidth="1"/>
    <col min="6415" max="6415" width="12.85546875" style="132" bestFit="1" customWidth="1"/>
    <col min="6416" max="6416" width="13.85546875" style="132" bestFit="1" customWidth="1"/>
    <col min="6417" max="6417" width="7" style="132" bestFit="1" customWidth="1"/>
    <col min="6418" max="6418" width="30.42578125" style="132" bestFit="1" customWidth="1"/>
    <col min="6419" max="6419" width="14.28515625" style="132" customWidth="1"/>
    <col min="6420" max="6420" width="6.5703125" style="132" bestFit="1" customWidth="1"/>
    <col min="6421" max="6421" width="13.140625" style="132" bestFit="1" customWidth="1"/>
    <col min="6422" max="6422" width="4.7109375" style="132" bestFit="1" customWidth="1"/>
    <col min="6423" max="6656" width="11.42578125" style="132"/>
    <col min="6657" max="6657" width="3.28515625" style="132" customWidth="1"/>
    <col min="6658" max="6658" width="4.140625" style="132" bestFit="1" customWidth="1"/>
    <col min="6659" max="6659" width="32.7109375" style="132" bestFit="1" customWidth="1"/>
    <col min="6660" max="6660" width="13.85546875" style="132" bestFit="1" customWidth="1"/>
    <col min="6661" max="6661" width="5.5703125" style="132" bestFit="1" customWidth="1"/>
    <col min="6662" max="6662" width="13.85546875" style="132" bestFit="1" customWidth="1"/>
    <col min="6663" max="6663" width="12.85546875" style="132" bestFit="1" customWidth="1"/>
    <col min="6664" max="6664" width="11.85546875" style="132" bestFit="1" customWidth="1"/>
    <col min="6665" max="6665" width="18" style="132" bestFit="1" customWidth="1"/>
    <col min="6666" max="6666" width="12.85546875" style="132" bestFit="1" customWidth="1"/>
    <col min="6667" max="6667" width="11.85546875" style="132" bestFit="1" customWidth="1"/>
    <col min="6668" max="6668" width="10" style="132" bestFit="1" customWidth="1"/>
    <col min="6669" max="6669" width="6.5703125" style="132" bestFit="1" customWidth="1"/>
    <col min="6670" max="6670" width="8.5703125" style="132" bestFit="1" customWidth="1"/>
    <col min="6671" max="6671" width="12.85546875" style="132" bestFit="1" customWidth="1"/>
    <col min="6672" max="6672" width="13.85546875" style="132" bestFit="1" customWidth="1"/>
    <col min="6673" max="6673" width="7" style="132" bestFit="1" customWidth="1"/>
    <col min="6674" max="6674" width="30.42578125" style="132" bestFit="1" customWidth="1"/>
    <col min="6675" max="6675" width="14.28515625" style="132" customWidth="1"/>
    <col min="6676" max="6676" width="6.5703125" style="132" bestFit="1" customWidth="1"/>
    <col min="6677" max="6677" width="13.140625" style="132" bestFit="1" customWidth="1"/>
    <col min="6678" max="6678" width="4.7109375" style="132" bestFit="1" customWidth="1"/>
    <col min="6679" max="6912" width="11.42578125" style="132"/>
    <col min="6913" max="6913" width="3.28515625" style="132" customWidth="1"/>
    <col min="6914" max="6914" width="4.140625" style="132" bestFit="1" customWidth="1"/>
    <col min="6915" max="6915" width="32.7109375" style="132" bestFit="1" customWidth="1"/>
    <col min="6916" max="6916" width="13.85546875" style="132" bestFit="1" customWidth="1"/>
    <col min="6917" max="6917" width="5.5703125" style="132" bestFit="1" customWidth="1"/>
    <col min="6918" max="6918" width="13.85546875" style="132" bestFit="1" customWidth="1"/>
    <col min="6919" max="6919" width="12.85546875" style="132" bestFit="1" customWidth="1"/>
    <col min="6920" max="6920" width="11.85546875" style="132" bestFit="1" customWidth="1"/>
    <col min="6921" max="6921" width="18" style="132" bestFit="1" customWidth="1"/>
    <col min="6922" max="6922" width="12.85546875" style="132" bestFit="1" customWidth="1"/>
    <col min="6923" max="6923" width="11.85546875" style="132" bestFit="1" customWidth="1"/>
    <col min="6924" max="6924" width="10" style="132" bestFit="1" customWidth="1"/>
    <col min="6925" max="6925" width="6.5703125" style="132" bestFit="1" customWidth="1"/>
    <col min="6926" max="6926" width="8.5703125" style="132" bestFit="1" customWidth="1"/>
    <col min="6927" max="6927" width="12.85546875" style="132" bestFit="1" customWidth="1"/>
    <col min="6928" max="6928" width="13.85546875" style="132" bestFit="1" customWidth="1"/>
    <col min="6929" max="6929" width="7" style="132" bestFit="1" customWidth="1"/>
    <col min="6930" max="6930" width="30.42578125" style="132" bestFit="1" customWidth="1"/>
    <col min="6931" max="6931" width="14.28515625" style="132" customWidth="1"/>
    <col min="6932" max="6932" width="6.5703125" style="132" bestFit="1" customWidth="1"/>
    <col min="6933" max="6933" width="13.140625" style="132" bestFit="1" customWidth="1"/>
    <col min="6934" max="6934" width="4.7109375" style="132" bestFit="1" customWidth="1"/>
    <col min="6935" max="7168" width="11.42578125" style="132"/>
    <col min="7169" max="7169" width="3.28515625" style="132" customWidth="1"/>
    <col min="7170" max="7170" width="4.140625" style="132" bestFit="1" customWidth="1"/>
    <col min="7171" max="7171" width="32.7109375" style="132" bestFit="1" customWidth="1"/>
    <col min="7172" max="7172" width="13.85546875" style="132" bestFit="1" customWidth="1"/>
    <col min="7173" max="7173" width="5.5703125" style="132" bestFit="1" customWidth="1"/>
    <col min="7174" max="7174" width="13.85546875" style="132" bestFit="1" customWidth="1"/>
    <col min="7175" max="7175" width="12.85546875" style="132" bestFit="1" customWidth="1"/>
    <col min="7176" max="7176" width="11.85546875" style="132" bestFit="1" customWidth="1"/>
    <col min="7177" max="7177" width="18" style="132" bestFit="1" customWidth="1"/>
    <col min="7178" max="7178" width="12.85546875" style="132" bestFit="1" customWidth="1"/>
    <col min="7179" max="7179" width="11.85546875" style="132" bestFit="1" customWidth="1"/>
    <col min="7180" max="7180" width="10" style="132" bestFit="1" customWidth="1"/>
    <col min="7181" max="7181" width="6.5703125" style="132" bestFit="1" customWidth="1"/>
    <col min="7182" max="7182" width="8.5703125" style="132" bestFit="1" customWidth="1"/>
    <col min="7183" max="7183" width="12.85546875" style="132" bestFit="1" customWidth="1"/>
    <col min="7184" max="7184" width="13.85546875" style="132" bestFit="1" customWidth="1"/>
    <col min="7185" max="7185" width="7" style="132" bestFit="1" customWidth="1"/>
    <col min="7186" max="7186" width="30.42578125" style="132" bestFit="1" customWidth="1"/>
    <col min="7187" max="7187" width="14.28515625" style="132" customWidth="1"/>
    <col min="7188" max="7188" width="6.5703125" style="132" bestFit="1" customWidth="1"/>
    <col min="7189" max="7189" width="13.140625" style="132" bestFit="1" customWidth="1"/>
    <col min="7190" max="7190" width="4.7109375" style="132" bestFit="1" customWidth="1"/>
    <col min="7191" max="7424" width="11.42578125" style="132"/>
    <col min="7425" max="7425" width="3.28515625" style="132" customWidth="1"/>
    <col min="7426" max="7426" width="4.140625" style="132" bestFit="1" customWidth="1"/>
    <col min="7427" max="7427" width="32.7109375" style="132" bestFit="1" customWidth="1"/>
    <col min="7428" max="7428" width="13.85546875" style="132" bestFit="1" customWidth="1"/>
    <col min="7429" max="7429" width="5.5703125" style="132" bestFit="1" customWidth="1"/>
    <col min="7430" max="7430" width="13.85546875" style="132" bestFit="1" customWidth="1"/>
    <col min="7431" max="7431" width="12.85546875" style="132" bestFit="1" customWidth="1"/>
    <col min="7432" max="7432" width="11.85546875" style="132" bestFit="1" customWidth="1"/>
    <col min="7433" max="7433" width="18" style="132" bestFit="1" customWidth="1"/>
    <col min="7434" max="7434" width="12.85546875" style="132" bestFit="1" customWidth="1"/>
    <col min="7435" max="7435" width="11.85546875" style="132" bestFit="1" customWidth="1"/>
    <col min="7436" max="7436" width="10" style="132" bestFit="1" customWidth="1"/>
    <col min="7437" max="7437" width="6.5703125" style="132" bestFit="1" customWidth="1"/>
    <col min="7438" max="7438" width="8.5703125" style="132" bestFit="1" customWidth="1"/>
    <col min="7439" max="7439" width="12.85546875" style="132" bestFit="1" customWidth="1"/>
    <col min="7440" max="7440" width="13.85546875" style="132" bestFit="1" customWidth="1"/>
    <col min="7441" max="7441" width="7" style="132" bestFit="1" customWidth="1"/>
    <col min="7442" max="7442" width="30.42578125" style="132" bestFit="1" customWidth="1"/>
    <col min="7443" max="7443" width="14.28515625" style="132" customWidth="1"/>
    <col min="7444" max="7444" width="6.5703125" style="132" bestFit="1" customWidth="1"/>
    <col min="7445" max="7445" width="13.140625" style="132" bestFit="1" customWidth="1"/>
    <col min="7446" max="7446" width="4.7109375" style="132" bestFit="1" customWidth="1"/>
    <col min="7447" max="7680" width="11.42578125" style="132"/>
    <col min="7681" max="7681" width="3.28515625" style="132" customWidth="1"/>
    <col min="7682" max="7682" width="4.140625" style="132" bestFit="1" customWidth="1"/>
    <col min="7683" max="7683" width="32.7109375" style="132" bestFit="1" customWidth="1"/>
    <col min="7684" max="7684" width="13.85546875" style="132" bestFit="1" customWidth="1"/>
    <col min="7685" max="7685" width="5.5703125" style="132" bestFit="1" customWidth="1"/>
    <col min="7686" max="7686" width="13.85546875" style="132" bestFit="1" customWidth="1"/>
    <col min="7687" max="7687" width="12.85546875" style="132" bestFit="1" customWidth="1"/>
    <col min="7688" max="7688" width="11.85546875" style="132" bestFit="1" customWidth="1"/>
    <col min="7689" max="7689" width="18" style="132" bestFit="1" customWidth="1"/>
    <col min="7690" max="7690" width="12.85546875" style="132" bestFit="1" customWidth="1"/>
    <col min="7691" max="7691" width="11.85546875" style="132" bestFit="1" customWidth="1"/>
    <col min="7692" max="7692" width="10" style="132" bestFit="1" customWidth="1"/>
    <col min="7693" max="7693" width="6.5703125" style="132" bestFit="1" customWidth="1"/>
    <col min="7694" max="7694" width="8.5703125" style="132" bestFit="1" customWidth="1"/>
    <col min="7695" max="7695" width="12.85546875" style="132" bestFit="1" customWidth="1"/>
    <col min="7696" max="7696" width="13.85546875" style="132" bestFit="1" customWidth="1"/>
    <col min="7697" max="7697" width="7" style="132" bestFit="1" customWidth="1"/>
    <col min="7698" max="7698" width="30.42578125" style="132" bestFit="1" customWidth="1"/>
    <col min="7699" max="7699" width="14.28515625" style="132" customWidth="1"/>
    <col min="7700" max="7700" width="6.5703125" style="132" bestFit="1" customWidth="1"/>
    <col min="7701" max="7701" width="13.140625" style="132" bestFit="1" customWidth="1"/>
    <col min="7702" max="7702" width="4.7109375" style="132" bestFit="1" customWidth="1"/>
    <col min="7703" max="7936" width="11.42578125" style="132"/>
    <col min="7937" max="7937" width="3.28515625" style="132" customWidth="1"/>
    <col min="7938" max="7938" width="4.140625" style="132" bestFit="1" customWidth="1"/>
    <col min="7939" max="7939" width="32.7109375" style="132" bestFit="1" customWidth="1"/>
    <col min="7940" max="7940" width="13.85546875" style="132" bestFit="1" customWidth="1"/>
    <col min="7941" max="7941" width="5.5703125" style="132" bestFit="1" customWidth="1"/>
    <col min="7942" max="7942" width="13.85546875" style="132" bestFit="1" customWidth="1"/>
    <col min="7943" max="7943" width="12.85546875" style="132" bestFit="1" customWidth="1"/>
    <col min="7944" max="7944" width="11.85546875" style="132" bestFit="1" customWidth="1"/>
    <col min="7945" max="7945" width="18" style="132" bestFit="1" customWidth="1"/>
    <col min="7946" max="7946" width="12.85546875" style="132" bestFit="1" customWidth="1"/>
    <col min="7947" max="7947" width="11.85546875" style="132" bestFit="1" customWidth="1"/>
    <col min="7948" max="7948" width="10" style="132" bestFit="1" customWidth="1"/>
    <col min="7949" max="7949" width="6.5703125" style="132" bestFit="1" customWidth="1"/>
    <col min="7950" max="7950" width="8.5703125" style="132" bestFit="1" customWidth="1"/>
    <col min="7951" max="7951" width="12.85546875" style="132" bestFit="1" customWidth="1"/>
    <col min="7952" max="7952" width="13.85546875" style="132" bestFit="1" customWidth="1"/>
    <col min="7953" max="7953" width="7" style="132" bestFit="1" customWidth="1"/>
    <col min="7954" max="7954" width="30.42578125" style="132" bestFit="1" customWidth="1"/>
    <col min="7955" max="7955" width="14.28515625" style="132" customWidth="1"/>
    <col min="7956" max="7956" width="6.5703125" style="132" bestFit="1" customWidth="1"/>
    <col min="7957" max="7957" width="13.140625" style="132" bestFit="1" customWidth="1"/>
    <col min="7958" max="7958" width="4.7109375" style="132" bestFit="1" customWidth="1"/>
    <col min="7959" max="8192" width="11.42578125" style="132"/>
    <col min="8193" max="8193" width="3.28515625" style="132" customWidth="1"/>
    <col min="8194" max="8194" width="4.140625" style="132" bestFit="1" customWidth="1"/>
    <col min="8195" max="8195" width="32.7109375" style="132" bestFit="1" customWidth="1"/>
    <col min="8196" max="8196" width="13.85546875" style="132" bestFit="1" customWidth="1"/>
    <col min="8197" max="8197" width="5.5703125" style="132" bestFit="1" customWidth="1"/>
    <col min="8198" max="8198" width="13.85546875" style="132" bestFit="1" customWidth="1"/>
    <col min="8199" max="8199" width="12.85546875" style="132" bestFit="1" customWidth="1"/>
    <col min="8200" max="8200" width="11.85546875" style="132" bestFit="1" customWidth="1"/>
    <col min="8201" max="8201" width="18" style="132" bestFit="1" customWidth="1"/>
    <col min="8202" max="8202" width="12.85546875" style="132" bestFit="1" customWidth="1"/>
    <col min="8203" max="8203" width="11.85546875" style="132" bestFit="1" customWidth="1"/>
    <col min="8204" max="8204" width="10" style="132" bestFit="1" customWidth="1"/>
    <col min="8205" max="8205" width="6.5703125" style="132" bestFit="1" customWidth="1"/>
    <col min="8206" max="8206" width="8.5703125" style="132" bestFit="1" customWidth="1"/>
    <col min="8207" max="8207" width="12.85546875" style="132" bestFit="1" customWidth="1"/>
    <col min="8208" max="8208" width="13.85546875" style="132" bestFit="1" customWidth="1"/>
    <col min="8209" max="8209" width="7" style="132" bestFit="1" customWidth="1"/>
    <col min="8210" max="8210" width="30.42578125" style="132" bestFit="1" customWidth="1"/>
    <col min="8211" max="8211" width="14.28515625" style="132" customWidth="1"/>
    <col min="8212" max="8212" width="6.5703125" style="132" bestFit="1" customWidth="1"/>
    <col min="8213" max="8213" width="13.140625" style="132" bestFit="1" customWidth="1"/>
    <col min="8214" max="8214" width="4.7109375" style="132" bestFit="1" customWidth="1"/>
    <col min="8215" max="8448" width="11.42578125" style="132"/>
    <col min="8449" max="8449" width="3.28515625" style="132" customWidth="1"/>
    <col min="8450" max="8450" width="4.140625" style="132" bestFit="1" customWidth="1"/>
    <col min="8451" max="8451" width="32.7109375" style="132" bestFit="1" customWidth="1"/>
    <col min="8452" max="8452" width="13.85546875" style="132" bestFit="1" customWidth="1"/>
    <col min="8453" max="8453" width="5.5703125" style="132" bestFit="1" customWidth="1"/>
    <col min="8454" max="8454" width="13.85546875" style="132" bestFit="1" customWidth="1"/>
    <col min="8455" max="8455" width="12.85546875" style="132" bestFit="1" customWidth="1"/>
    <col min="8456" max="8456" width="11.85546875" style="132" bestFit="1" customWidth="1"/>
    <col min="8457" max="8457" width="18" style="132" bestFit="1" customWidth="1"/>
    <col min="8458" max="8458" width="12.85546875" style="132" bestFit="1" customWidth="1"/>
    <col min="8459" max="8459" width="11.85546875" style="132" bestFit="1" customWidth="1"/>
    <col min="8460" max="8460" width="10" style="132" bestFit="1" customWidth="1"/>
    <col min="8461" max="8461" width="6.5703125" style="132" bestFit="1" customWidth="1"/>
    <col min="8462" max="8462" width="8.5703125" style="132" bestFit="1" customWidth="1"/>
    <col min="8463" max="8463" width="12.85546875" style="132" bestFit="1" customWidth="1"/>
    <col min="8464" max="8464" width="13.85546875" style="132" bestFit="1" customWidth="1"/>
    <col min="8465" max="8465" width="7" style="132" bestFit="1" customWidth="1"/>
    <col min="8466" max="8466" width="30.42578125" style="132" bestFit="1" customWidth="1"/>
    <col min="8467" max="8467" width="14.28515625" style="132" customWidth="1"/>
    <col min="8468" max="8468" width="6.5703125" style="132" bestFit="1" customWidth="1"/>
    <col min="8469" max="8469" width="13.140625" style="132" bestFit="1" customWidth="1"/>
    <col min="8470" max="8470" width="4.7109375" style="132" bestFit="1" customWidth="1"/>
    <col min="8471" max="8704" width="11.42578125" style="132"/>
    <col min="8705" max="8705" width="3.28515625" style="132" customWidth="1"/>
    <col min="8706" max="8706" width="4.140625" style="132" bestFit="1" customWidth="1"/>
    <col min="8707" max="8707" width="32.7109375" style="132" bestFit="1" customWidth="1"/>
    <col min="8708" max="8708" width="13.85546875" style="132" bestFit="1" customWidth="1"/>
    <col min="8709" max="8709" width="5.5703125" style="132" bestFit="1" customWidth="1"/>
    <col min="8710" max="8710" width="13.85546875" style="132" bestFit="1" customWidth="1"/>
    <col min="8711" max="8711" width="12.85546875" style="132" bestFit="1" customWidth="1"/>
    <col min="8712" max="8712" width="11.85546875" style="132" bestFit="1" customWidth="1"/>
    <col min="8713" max="8713" width="18" style="132" bestFit="1" customWidth="1"/>
    <col min="8714" max="8714" width="12.85546875" style="132" bestFit="1" customWidth="1"/>
    <col min="8715" max="8715" width="11.85546875" style="132" bestFit="1" customWidth="1"/>
    <col min="8716" max="8716" width="10" style="132" bestFit="1" customWidth="1"/>
    <col min="8717" max="8717" width="6.5703125" style="132" bestFit="1" customWidth="1"/>
    <col min="8718" max="8718" width="8.5703125" style="132" bestFit="1" customWidth="1"/>
    <col min="8719" max="8719" width="12.85546875" style="132" bestFit="1" customWidth="1"/>
    <col min="8720" max="8720" width="13.85546875" style="132" bestFit="1" customWidth="1"/>
    <col min="8721" max="8721" width="7" style="132" bestFit="1" customWidth="1"/>
    <col min="8722" max="8722" width="30.42578125" style="132" bestFit="1" customWidth="1"/>
    <col min="8723" max="8723" width="14.28515625" style="132" customWidth="1"/>
    <col min="8724" max="8724" width="6.5703125" style="132" bestFit="1" customWidth="1"/>
    <col min="8725" max="8725" width="13.140625" style="132" bestFit="1" customWidth="1"/>
    <col min="8726" max="8726" width="4.7109375" style="132" bestFit="1" customWidth="1"/>
    <col min="8727" max="8960" width="11.42578125" style="132"/>
    <col min="8961" max="8961" width="3.28515625" style="132" customWidth="1"/>
    <col min="8962" max="8962" width="4.140625" style="132" bestFit="1" customWidth="1"/>
    <col min="8963" max="8963" width="32.7109375" style="132" bestFit="1" customWidth="1"/>
    <col min="8964" max="8964" width="13.85546875" style="132" bestFit="1" customWidth="1"/>
    <col min="8965" max="8965" width="5.5703125" style="132" bestFit="1" customWidth="1"/>
    <col min="8966" max="8966" width="13.85546875" style="132" bestFit="1" customWidth="1"/>
    <col min="8967" max="8967" width="12.85546875" style="132" bestFit="1" customWidth="1"/>
    <col min="8968" max="8968" width="11.85546875" style="132" bestFit="1" customWidth="1"/>
    <col min="8969" max="8969" width="18" style="132" bestFit="1" customWidth="1"/>
    <col min="8970" max="8970" width="12.85546875" style="132" bestFit="1" customWidth="1"/>
    <col min="8971" max="8971" width="11.85546875" style="132" bestFit="1" customWidth="1"/>
    <col min="8972" max="8972" width="10" style="132" bestFit="1" customWidth="1"/>
    <col min="8973" max="8973" width="6.5703125" style="132" bestFit="1" customWidth="1"/>
    <col min="8974" max="8974" width="8.5703125" style="132" bestFit="1" customWidth="1"/>
    <col min="8975" max="8975" width="12.85546875" style="132" bestFit="1" customWidth="1"/>
    <col min="8976" max="8976" width="13.85546875" style="132" bestFit="1" customWidth="1"/>
    <col min="8977" max="8977" width="7" style="132" bestFit="1" customWidth="1"/>
    <col min="8978" max="8978" width="30.42578125" style="132" bestFit="1" customWidth="1"/>
    <col min="8979" max="8979" width="14.28515625" style="132" customWidth="1"/>
    <col min="8980" max="8980" width="6.5703125" style="132" bestFit="1" customWidth="1"/>
    <col min="8981" max="8981" width="13.140625" style="132" bestFit="1" customWidth="1"/>
    <col min="8982" max="8982" width="4.7109375" style="132" bestFit="1" customWidth="1"/>
    <col min="8983" max="9216" width="11.42578125" style="132"/>
    <col min="9217" max="9217" width="3.28515625" style="132" customWidth="1"/>
    <col min="9218" max="9218" width="4.140625" style="132" bestFit="1" customWidth="1"/>
    <col min="9219" max="9219" width="32.7109375" style="132" bestFit="1" customWidth="1"/>
    <col min="9220" max="9220" width="13.85546875" style="132" bestFit="1" customWidth="1"/>
    <col min="9221" max="9221" width="5.5703125" style="132" bestFit="1" customWidth="1"/>
    <col min="9222" max="9222" width="13.85546875" style="132" bestFit="1" customWidth="1"/>
    <col min="9223" max="9223" width="12.85546875" style="132" bestFit="1" customWidth="1"/>
    <col min="9224" max="9224" width="11.85546875" style="132" bestFit="1" customWidth="1"/>
    <col min="9225" max="9225" width="18" style="132" bestFit="1" customWidth="1"/>
    <col min="9226" max="9226" width="12.85546875" style="132" bestFit="1" customWidth="1"/>
    <col min="9227" max="9227" width="11.85546875" style="132" bestFit="1" customWidth="1"/>
    <col min="9228" max="9228" width="10" style="132" bestFit="1" customWidth="1"/>
    <col min="9229" max="9229" width="6.5703125" style="132" bestFit="1" customWidth="1"/>
    <col min="9230" max="9230" width="8.5703125" style="132" bestFit="1" customWidth="1"/>
    <col min="9231" max="9231" width="12.85546875" style="132" bestFit="1" customWidth="1"/>
    <col min="9232" max="9232" width="13.85546875" style="132" bestFit="1" customWidth="1"/>
    <col min="9233" max="9233" width="7" style="132" bestFit="1" customWidth="1"/>
    <col min="9234" max="9234" width="30.42578125" style="132" bestFit="1" customWidth="1"/>
    <col min="9235" max="9235" width="14.28515625" style="132" customWidth="1"/>
    <col min="9236" max="9236" width="6.5703125" style="132" bestFit="1" customWidth="1"/>
    <col min="9237" max="9237" width="13.140625" style="132" bestFit="1" customWidth="1"/>
    <col min="9238" max="9238" width="4.7109375" style="132" bestFit="1" customWidth="1"/>
    <col min="9239" max="9472" width="11.42578125" style="132"/>
    <col min="9473" max="9473" width="3.28515625" style="132" customWidth="1"/>
    <col min="9474" max="9474" width="4.140625" style="132" bestFit="1" customWidth="1"/>
    <col min="9475" max="9475" width="32.7109375" style="132" bestFit="1" customWidth="1"/>
    <col min="9476" max="9476" width="13.85546875" style="132" bestFit="1" customWidth="1"/>
    <col min="9477" max="9477" width="5.5703125" style="132" bestFit="1" customWidth="1"/>
    <col min="9478" max="9478" width="13.85546875" style="132" bestFit="1" customWidth="1"/>
    <col min="9479" max="9479" width="12.85546875" style="132" bestFit="1" customWidth="1"/>
    <col min="9480" max="9480" width="11.85546875" style="132" bestFit="1" customWidth="1"/>
    <col min="9481" max="9481" width="18" style="132" bestFit="1" customWidth="1"/>
    <col min="9482" max="9482" width="12.85546875" style="132" bestFit="1" customWidth="1"/>
    <col min="9483" max="9483" width="11.85546875" style="132" bestFit="1" customWidth="1"/>
    <col min="9484" max="9484" width="10" style="132" bestFit="1" customWidth="1"/>
    <col min="9485" max="9485" width="6.5703125" style="132" bestFit="1" customWidth="1"/>
    <col min="9486" max="9486" width="8.5703125" style="132" bestFit="1" customWidth="1"/>
    <col min="9487" max="9487" width="12.85546875" style="132" bestFit="1" customWidth="1"/>
    <col min="9488" max="9488" width="13.85546875" style="132" bestFit="1" customWidth="1"/>
    <col min="9489" max="9489" width="7" style="132" bestFit="1" customWidth="1"/>
    <col min="9490" max="9490" width="30.42578125" style="132" bestFit="1" customWidth="1"/>
    <col min="9491" max="9491" width="14.28515625" style="132" customWidth="1"/>
    <col min="9492" max="9492" width="6.5703125" style="132" bestFit="1" customWidth="1"/>
    <col min="9493" max="9493" width="13.140625" style="132" bestFit="1" customWidth="1"/>
    <col min="9494" max="9494" width="4.7109375" style="132" bestFit="1" customWidth="1"/>
    <col min="9495" max="9728" width="11.42578125" style="132"/>
    <col min="9729" max="9729" width="3.28515625" style="132" customWidth="1"/>
    <col min="9730" max="9730" width="4.140625" style="132" bestFit="1" customWidth="1"/>
    <col min="9731" max="9731" width="32.7109375" style="132" bestFit="1" customWidth="1"/>
    <col min="9732" max="9732" width="13.85546875" style="132" bestFit="1" customWidth="1"/>
    <col min="9733" max="9733" width="5.5703125" style="132" bestFit="1" customWidth="1"/>
    <col min="9734" max="9734" width="13.85546875" style="132" bestFit="1" customWidth="1"/>
    <col min="9735" max="9735" width="12.85546875" style="132" bestFit="1" customWidth="1"/>
    <col min="9736" max="9736" width="11.85546875" style="132" bestFit="1" customWidth="1"/>
    <col min="9737" max="9737" width="18" style="132" bestFit="1" customWidth="1"/>
    <col min="9738" max="9738" width="12.85546875" style="132" bestFit="1" customWidth="1"/>
    <col min="9739" max="9739" width="11.85546875" style="132" bestFit="1" customWidth="1"/>
    <col min="9740" max="9740" width="10" style="132" bestFit="1" customWidth="1"/>
    <col min="9741" max="9741" width="6.5703125" style="132" bestFit="1" customWidth="1"/>
    <col min="9742" max="9742" width="8.5703125" style="132" bestFit="1" customWidth="1"/>
    <col min="9743" max="9743" width="12.85546875" style="132" bestFit="1" customWidth="1"/>
    <col min="9744" max="9744" width="13.85546875" style="132" bestFit="1" customWidth="1"/>
    <col min="9745" max="9745" width="7" style="132" bestFit="1" customWidth="1"/>
    <col min="9746" max="9746" width="30.42578125" style="132" bestFit="1" customWidth="1"/>
    <col min="9747" max="9747" width="14.28515625" style="132" customWidth="1"/>
    <col min="9748" max="9748" width="6.5703125" style="132" bestFit="1" customWidth="1"/>
    <col min="9749" max="9749" width="13.140625" style="132" bestFit="1" customWidth="1"/>
    <col min="9750" max="9750" width="4.7109375" style="132" bestFit="1" customWidth="1"/>
    <col min="9751" max="9984" width="11.42578125" style="132"/>
    <col min="9985" max="9985" width="3.28515625" style="132" customWidth="1"/>
    <col min="9986" max="9986" width="4.140625" style="132" bestFit="1" customWidth="1"/>
    <col min="9987" max="9987" width="32.7109375" style="132" bestFit="1" customWidth="1"/>
    <col min="9988" max="9988" width="13.85546875" style="132" bestFit="1" customWidth="1"/>
    <col min="9989" max="9989" width="5.5703125" style="132" bestFit="1" customWidth="1"/>
    <col min="9990" max="9990" width="13.85546875" style="132" bestFit="1" customWidth="1"/>
    <col min="9991" max="9991" width="12.85546875" style="132" bestFit="1" customWidth="1"/>
    <col min="9992" max="9992" width="11.85546875" style="132" bestFit="1" customWidth="1"/>
    <col min="9993" max="9993" width="18" style="132" bestFit="1" customWidth="1"/>
    <col min="9994" max="9994" width="12.85546875" style="132" bestFit="1" customWidth="1"/>
    <col min="9995" max="9995" width="11.85546875" style="132" bestFit="1" customWidth="1"/>
    <col min="9996" max="9996" width="10" style="132" bestFit="1" customWidth="1"/>
    <col min="9997" max="9997" width="6.5703125" style="132" bestFit="1" customWidth="1"/>
    <col min="9998" max="9998" width="8.5703125" style="132" bestFit="1" customWidth="1"/>
    <col min="9999" max="9999" width="12.85546875" style="132" bestFit="1" customWidth="1"/>
    <col min="10000" max="10000" width="13.85546875" style="132" bestFit="1" customWidth="1"/>
    <col min="10001" max="10001" width="7" style="132" bestFit="1" customWidth="1"/>
    <col min="10002" max="10002" width="30.42578125" style="132" bestFit="1" customWidth="1"/>
    <col min="10003" max="10003" width="14.28515625" style="132" customWidth="1"/>
    <col min="10004" max="10004" width="6.5703125" style="132" bestFit="1" customWidth="1"/>
    <col min="10005" max="10005" width="13.140625" style="132" bestFit="1" customWidth="1"/>
    <col min="10006" max="10006" width="4.7109375" style="132" bestFit="1" customWidth="1"/>
    <col min="10007" max="10240" width="11.42578125" style="132"/>
    <col min="10241" max="10241" width="3.28515625" style="132" customWidth="1"/>
    <col min="10242" max="10242" width="4.140625" style="132" bestFit="1" customWidth="1"/>
    <col min="10243" max="10243" width="32.7109375" style="132" bestFit="1" customWidth="1"/>
    <col min="10244" max="10244" width="13.85546875" style="132" bestFit="1" customWidth="1"/>
    <col min="10245" max="10245" width="5.5703125" style="132" bestFit="1" customWidth="1"/>
    <col min="10246" max="10246" width="13.85546875" style="132" bestFit="1" customWidth="1"/>
    <col min="10247" max="10247" width="12.85546875" style="132" bestFit="1" customWidth="1"/>
    <col min="10248" max="10248" width="11.85546875" style="132" bestFit="1" customWidth="1"/>
    <col min="10249" max="10249" width="18" style="132" bestFit="1" customWidth="1"/>
    <col min="10250" max="10250" width="12.85546875" style="132" bestFit="1" customWidth="1"/>
    <col min="10251" max="10251" width="11.85546875" style="132" bestFit="1" customWidth="1"/>
    <col min="10252" max="10252" width="10" style="132" bestFit="1" customWidth="1"/>
    <col min="10253" max="10253" width="6.5703125" style="132" bestFit="1" customWidth="1"/>
    <col min="10254" max="10254" width="8.5703125" style="132" bestFit="1" customWidth="1"/>
    <col min="10255" max="10255" width="12.85546875" style="132" bestFit="1" customWidth="1"/>
    <col min="10256" max="10256" width="13.85546875" style="132" bestFit="1" customWidth="1"/>
    <col min="10257" max="10257" width="7" style="132" bestFit="1" customWidth="1"/>
    <col min="10258" max="10258" width="30.42578125" style="132" bestFit="1" customWidth="1"/>
    <col min="10259" max="10259" width="14.28515625" style="132" customWidth="1"/>
    <col min="10260" max="10260" width="6.5703125" style="132" bestFit="1" customWidth="1"/>
    <col min="10261" max="10261" width="13.140625" style="132" bestFit="1" customWidth="1"/>
    <col min="10262" max="10262" width="4.7109375" style="132" bestFit="1" customWidth="1"/>
    <col min="10263" max="10496" width="11.42578125" style="132"/>
    <col min="10497" max="10497" width="3.28515625" style="132" customWidth="1"/>
    <col min="10498" max="10498" width="4.140625" style="132" bestFit="1" customWidth="1"/>
    <col min="10499" max="10499" width="32.7109375" style="132" bestFit="1" customWidth="1"/>
    <col min="10500" max="10500" width="13.85546875" style="132" bestFit="1" customWidth="1"/>
    <col min="10501" max="10501" width="5.5703125" style="132" bestFit="1" customWidth="1"/>
    <col min="10502" max="10502" width="13.85546875" style="132" bestFit="1" customWidth="1"/>
    <col min="10503" max="10503" width="12.85546875" style="132" bestFit="1" customWidth="1"/>
    <col min="10504" max="10504" width="11.85546875" style="132" bestFit="1" customWidth="1"/>
    <col min="10505" max="10505" width="18" style="132" bestFit="1" customWidth="1"/>
    <col min="10506" max="10506" width="12.85546875" style="132" bestFit="1" customWidth="1"/>
    <col min="10507" max="10507" width="11.85546875" style="132" bestFit="1" customWidth="1"/>
    <col min="10508" max="10508" width="10" style="132" bestFit="1" customWidth="1"/>
    <col min="10509" max="10509" width="6.5703125" style="132" bestFit="1" customWidth="1"/>
    <col min="10510" max="10510" width="8.5703125" style="132" bestFit="1" customWidth="1"/>
    <col min="10511" max="10511" width="12.85546875" style="132" bestFit="1" customWidth="1"/>
    <col min="10512" max="10512" width="13.85546875" style="132" bestFit="1" customWidth="1"/>
    <col min="10513" max="10513" width="7" style="132" bestFit="1" customWidth="1"/>
    <col min="10514" max="10514" width="30.42578125" style="132" bestFit="1" customWidth="1"/>
    <col min="10515" max="10515" width="14.28515625" style="132" customWidth="1"/>
    <col min="10516" max="10516" width="6.5703125" style="132" bestFit="1" customWidth="1"/>
    <col min="10517" max="10517" width="13.140625" style="132" bestFit="1" customWidth="1"/>
    <col min="10518" max="10518" width="4.7109375" style="132" bestFit="1" customWidth="1"/>
    <col min="10519" max="10752" width="11.42578125" style="132"/>
    <col min="10753" max="10753" width="3.28515625" style="132" customWidth="1"/>
    <col min="10754" max="10754" width="4.140625" style="132" bestFit="1" customWidth="1"/>
    <col min="10755" max="10755" width="32.7109375" style="132" bestFit="1" customWidth="1"/>
    <col min="10756" max="10756" width="13.85546875" style="132" bestFit="1" customWidth="1"/>
    <col min="10757" max="10757" width="5.5703125" style="132" bestFit="1" customWidth="1"/>
    <col min="10758" max="10758" width="13.85546875" style="132" bestFit="1" customWidth="1"/>
    <col min="10759" max="10759" width="12.85546875" style="132" bestFit="1" customWidth="1"/>
    <col min="10760" max="10760" width="11.85546875" style="132" bestFit="1" customWidth="1"/>
    <col min="10761" max="10761" width="18" style="132" bestFit="1" customWidth="1"/>
    <col min="10762" max="10762" width="12.85546875" style="132" bestFit="1" customWidth="1"/>
    <col min="10763" max="10763" width="11.85546875" style="132" bestFit="1" customWidth="1"/>
    <col min="10764" max="10764" width="10" style="132" bestFit="1" customWidth="1"/>
    <col min="10765" max="10765" width="6.5703125" style="132" bestFit="1" customWidth="1"/>
    <col min="10766" max="10766" width="8.5703125" style="132" bestFit="1" customWidth="1"/>
    <col min="10767" max="10767" width="12.85546875" style="132" bestFit="1" customWidth="1"/>
    <col min="10768" max="10768" width="13.85546875" style="132" bestFit="1" customWidth="1"/>
    <col min="10769" max="10769" width="7" style="132" bestFit="1" customWidth="1"/>
    <col min="10770" max="10770" width="30.42578125" style="132" bestFit="1" customWidth="1"/>
    <col min="10771" max="10771" width="14.28515625" style="132" customWidth="1"/>
    <col min="10772" max="10772" width="6.5703125" style="132" bestFit="1" customWidth="1"/>
    <col min="10773" max="10773" width="13.140625" style="132" bestFit="1" customWidth="1"/>
    <col min="10774" max="10774" width="4.7109375" style="132" bestFit="1" customWidth="1"/>
    <col min="10775" max="11008" width="11.42578125" style="132"/>
    <col min="11009" max="11009" width="3.28515625" style="132" customWidth="1"/>
    <col min="11010" max="11010" width="4.140625" style="132" bestFit="1" customWidth="1"/>
    <col min="11011" max="11011" width="32.7109375" style="132" bestFit="1" customWidth="1"/>
    <col min="11012" max="11012" width="13.85546875" style="132" bestFit="1" customWidth="1"/>
    <col min="11013" max="11013" width="5.5703125" style="132" bestFit="1" customWidth="1"/>
    <col min="11014" max="11014" width="13.85546875" style="132" bestFit="1" customWidth="1"/>
    <col min="11015" max="11015" width="12.85546875" style="132" bestFit="1" customWidth="1"/>
    <col min="11016" max="11016" width="11.85546875" style="132" bestFit="1" customWidth="1"/>
    <col min="11017" max="11017" width="18" style="132" bestFit="1" customWidth="1"/>
    <col min="11018" max="11018" width="12.85546875" style="132" bestFit="1" customWidth="1"/>
    <col min="11019" max="11019" width="11.85546875" style="132" bestFit="1" customWidth="1"/>
    <col min="11020" max="11020" width="10" style="132" bestFit="1" customWidth="1"/>
    <col min="11021" max="11021" width="6.5703125" style="132" bestFit="1" customWidth="1"/>
    <col min="11022" max="11022" width="8.5703125" style="132" bestFit="1" customWidth="1"/>
    <col min="11023" max="11023" width="12.85546875" style="132" bestFit="1" customWidth="1"/>
    <col min="11024" max="11024" width="13.85546875" style="132" bestFit="1" customWidth="1"/>
    <col min="11025" max="11025" width="7" style="132" bestFit="1" customWidth="1"/>
    <col min="11026" max="11026" width="30.42578125" style="132" bestFit="1" customWidth="1"/>
    <col min="11027" max="11027" width="14.28515625" style="132" customWidth="1"/>
    <col min="11028" max="11028" width="6.5703125" style="132" bestFit="1" customWidth="1"/>
    <col min="11029" max="11029" width="13.140625" style="132" bestFit="1" customWidth="1"/>
    <col min="11030" max="11030" width="4.7109375" style="132" bestFit="1" customWidth="1"/>
    <col min="11031" max="11264" width="11.42578125" style="132"/>
    <col min="11265" max="11265" width="3.28515625" style="132" customWidth="1"/>
    <col min="11266" max="11266" width="4.140625" style="132" bestFit="1" customWidth="1"/>
    <col min="11267" max="11267" width="32.7109375" style="132" bestFit="1" customWidth="1"/>
    <col min="11268" max="11268" width="13.85546875" style="132" bestFit="1" customWidth="1"/>
    <col min="11269" max="11269" width="5.5703125" style="132" bestFit="1" customWidth="1"/>
    <col min="11270" max="11270" width="13.85546875" style="132" bestFit="1" customWidth="1"/>
    <col min="11271" max="11271" width="12.85546875" style="132" bestFit="1" customWidth="1"/>
    <col min="11272" max="11272" width="11.85546875" style="132" bestFit="1" customWidth="1"/>
    <col min="11273" max="11273" width="18" style="132" bestFit="1" customWidth="1"/>
    <col min="11274" max="11274" width="12.85546875" style="132" bestFit="1" customWidth="1"/>
    <col min="11275" max="11275" width="11.85546875" style="132" bestFit="1" customWidth="1"/>
    <col min="11276" max="11276" width="10" style="132" bestFit="1" customWidth="1"/>
    <col min="11277" max="11277" width="6.5703125" style="132" bestFit="1" customWidth="1"/>
    <col min="11278" max="11278" width="8.5703125" style="132" bestFit="1" customWidth="1"/>
    <col min="11279" max="11279" width="12.85546875" style="132" bestFit="1" customWidth="1"/>
    <col min="11280" max="11280" width="13.85546875" style="132" bestFit="1" customWidth="1"/>
    <col min="11281" max="11281" width="7" style="132" bestFit="1" customWidth="1"/>
    <col min="11282" max="11282" width="30.42578125" style="132" bestFit="1" customWidth="1"/>
    <col min="11283" max="11283" width="14.28515625" style="132" customWidth="1"/>
    <col min="11284" max="11284" width="6.5703125" style="132" bestFit="1" customWidth="1"/>
    <col min="11285" max="11285" width="13.140625" style="132" bestFit="1" customWidth="1"/>
    <col min="11286" max="11286" width="4.7109375" style="132" bestFit="1" customWidth="1"/>
    <col min="11287" max="11520" width="11.42578125" style="132"/>
    <col min="11521" max="11521" width="3.28515625" style="132" customWidth="1"/>
    <col min="11522" max="11522" width="4.140625" style="132" bestFit="1" customWidth="1"/>
    <col min="11523" max="11523" width="32.7109375" style="132" bestFit="1" customWidth="1"/>
    <col min="11524" max="11524" width="13.85546875" style="132" bestFit="1" customWidth="1"/>
    <col min="11525" max="11525" width="5.5703125" style="132" bestFit="1" customWidth="1"/>
    <col min="11526" max="11526" width="13.85546875" style="132" bestFit="1" customWidth="1"/>
    <col min="11527" max="11527" width="12.85546875" style="132" bestFit="1" customWidth="1"/>
    <col min="11528" max="11528" width="11.85546875" style="132" bestFit="1" customWidth="1"/>
    <col min="11529" max="11529" width="18" style="132" bestFit="1" customWidth="1"/>
    <col min="11530" max="11530" width="12.85546875" style="132" bestFit="1" customWidth="1"/>
    <col min="11531" max="11531" width="11.85546875" style="132" bestFit="1" customWidth="1"/>
    <col min="11532" max="11532" width="10" style="132" bestFit="1" customWidth="1"/>
    <col min="11533" max="11533" width="6.5703125" style="132" bestFit="1" customWidth="1"/>
    <col min="11534" max="11534" width="8.5703125" style="132" bestFit="1" customWidth="1"/>
    <col min="11535" max="11535" width="12.85546875" style="132" bestFit="1" customWidth="1"/>
    <col min="11536" max="11536" width="13.85546875" style="132" bestFit="1" customWidth="1"/>
    <col min="11537" max="11537" width="7" style="132" bestFit="1" customWidth="1"/>
    <col min="11538" max="11538" width="30.42578125" style="132" bestFit="1" customWidth="1"/>
    <col min="11539" max="11539" width="14.28515625" style="132" customWidth="1"/>
    <col min="11540" max="11540" width="6.5703125" style="132" bestFit="1" customWidth="1"/>
    <col min="11541" max="11541" width="13.140625" style="132" bestFit="1" customWidth="1"/>
    <col min="11542" max="11542" width="4.7109375" style="132" bestFit="1" customWidth="1"/>
    <col min="11543" max="11776" width="11.42578125" style="132"/>
    <col min="11777" max="11777" width="3.28515625" style="132" customWidth="1"/>
    <col min="11778" max="11778" width="4.140625" style="132" bestFit="1" customWidth="1"/>
    <col min="11779" max="11779" width="32.7109375" style="132" bestFit="1" customWidth="1"/>
    <col min="11780" max="11780" width="13.85546875" style="132" bestFit="1" customWidth="1"/>
    <col min="11781" max="11781" width="5.5703125" style="132" bestFit="1" customWidth="1"/>
    <col min="11782" max="11782" width="13.85546875" style="132" bestFit="1" customWidth="1"/>
    <col min="11783" max="11783" width="12.85546875" style="132" bestFit="1" customWidth="1"/>
    <col min="11784" max="11784" width="11.85546875" style="132" bestFit="1" customWidth="1"/>
    <col min="11785" max="11785" width="18" style="132" bestFit="1" customWidth="1"/>
    <col min="11786" max="11786" width="12.85546875" style="132" bestFit="1" customWidth="1"/>
    <col min="11787" max="11787" width="11.85546875" style="132" bestFit="1" customWidth="1"/>
    <col min="11788" max="11788" width="10" style="132" bestFit="1" customWidth="1"/>
    <col min="11789" max="11789" width="6.5703125" style="132" bestFit="1" customWidth="1"/>
    <col min="11790" max="11790" width="8.5703125" style="132" bestFit="1" customWidth="1"/>
    <col min="11791" max="11791" width="12.85546875" style="132" bestFit="1" customWidth="1"/>
    <col min="11792" max="11792" width="13.85546875" style="132" bestFit="1" customWidth="1"/>
    <col min="11793" max="11793" width="7" style="132" bestFit="1" customWidth="1"/>
    <col min="11794" max="11794" width="30.42578125" style="132" bestFit="1" customWidth="1"/>
    <col min="11795" max="11795" width="14.28515625" style="132" customWidth="1"/>
    <col min="11796" max="11796" width="6.5703125" style="132" bestFit="1" customWidth="1"/>
    <col min="11797" max="11797" width="13.140625" style="132" bestFit="1" customWidth="1"/>
    <col min="11798" max="11798" width="4.7109375" style="132" bestFit="1" customWidth="1"/>
    <col min="11799" max="12032" width="11.42578125" style="132"/>
    <col min="12033" max="12033" width="3.28515625" style="132" customWidth="1"/>
    <col min="12034" max="12034" width="4.140625" style="132" bestFit="1" customWidth="1"/>
    <col min="12035" max="12035" width="32.7109375" style="132" bestFit="1" customWidth="1"/>
    <col min="12036" max="12036" width="13.85546875" style="132" bestFit="1" customWidth="1"/>
    <col min="12037" max="12037" width="5.5703125" style="132" bestFit="1" customWidth="1"/>
    <col min="12038" max="12038" width="13.85546875" style="132" bestFit="1" customWidth="1"/>
    <col min="12039" max="12039" width="12.85546875" style="132" bestFit="1" customWidth="1"/>
    <col min="12040" max="12040" width="11.85546875" style="132" bestFit="1" customWidth="1"/>
    <col min="12041" max="12041" width="18" style="132" bestFit="1" customWidth="1"/>
    <col min="12042" max="12042" width="12.85546875" style="132" bestFit="1" customWidth="1"/>
    <col min="12043" max="12043" width="11.85546875" style="132" bestFit="1" customWidth="1"/>
    <col min="12044" max="12044" width="10" style="132" bestFit="1" customWidth="1"/>
    <col min="12045" max="12045" width="6.5703125" style="132" bestFit="1" customWidth="1"/>
    <col min="12046" max="12046" width="8.5703125" style="132" bestFit="1" customWidth="1"/>
    <col min="12047" max="12047" width="12.85546875" style="132" bestFit="1" customWidth="1"/>
    <col min="12048" max="12048" width="13.85546875" style="132" bestFit="1" customWidth="1"/>
    <col min="12049" max="12049" width="7" style="132" bestFit="1" customWidth="1"/>
    <col min="12050" max="12050" width="30.42578125" style="132" bestFit="1" customWidth="1"/>
    <col min="12051" max="12051" width="14.28515625" style="132" customWidth="1"/>
    <col min="12052" max="12052" width="6.5703125" style="132" bestFit="1" customWidth="1"/>
    <col min="12053" max="12053" width="13.140625" style="132" bestFit="1" customWidth="1"/>
    <col min="12054" max="12054" width="4.7109375" style="132" bestFit="1" customWidth="1"/>
    <col min="12055" max="12288" width="11.42578125" style="132"/>
    <col min="12289" max="12289" width="3.28515625" style="132" customWidth="1"/>
    <col min="12290" max="12290" width="4.140625" style="132" bestFit="1" customWidth="1"/>
    <col min="12291" max="12291" width="32.7109375" style="132" bestFit="1" customWidth="1"/>
    <col min="12292" max="12292" width="13.85546875" style="132" bestFit="1" customWidth="1"/>
    <col min="12293" max="12293" width="5.5703125" style="132" bestFit="1" customWidth="1"/>
    <col min="12294" max="12294" width="13.85546875" style="132" bestFit="1" customWidth="1"/>
    <col min="12295" max="12295" width="12.85546875" style="132" bestFit="1" customWidth="1"/>
    <col min="12296" max="12296" width="11.85546875" style="132" bestFit="1" customWidth="1"/>
    <col min="12297" max="12297" width="18" style="132" bestFit="1" customWidth="1"/>
    <col min="12298" max="12298" width="12.85546875" style="132" bestFit="1" customWidth="1"/>
    <col min="12299" max="12299" width="11.85546875" style="132" bestFit="1" customWidth="1"/>
    <col min="12300" max="12300" width="10" style="132" bestFit="1" customWidth="1"/>
    <col min="12301" max="12301" width="6.5703125" style="132" bestFit="1" customWidth="1"/>
    <col min="12302" max="12302" width="8.5703125" style="132" bestFit="1" customWidth="1"/>
    <col min="12303" max="12303" width="12.85546875" style="132" bestFit="1" customWidth="1"/>
    <col min="12304" max="12304" width="13.85546875" style="132" bestFit="1" customWidth="1"/>
    <col min="12305" max="12305" width="7" style="132" bestFit="1" customWidth="1"/>
    <col min="12306" max="12306" width="30.42578125" style="132" bestFit="1" customWidth="1"/>
    <col min="12307" max="12307" width="14.28515625" style="132" customWidth="1"/>
    <col min="12308" max="12308" width="6.5703125" style="132" bestFit="1" customWidth="1"/>
    <col min="12309" max="12309" width="13.140625" style="132" bestFit="1" customWidth="1"/>
    <col min="12310" max="12310" width="4.7109375" style="132" bestFit="1" customWidth="1"/>
    <col min="12311" max="12544" width="11.42578125" style="132"/>
    <col min="12545" max="12545" width="3.28515625" style="132" customWidth="1"/>
    <col min="12546" max="12546" width="4.140625" style="132" bestFit="1" customWidth="1"/>
    <col min="12547" max="12547" width="32.7109375" style="132" bestFit="1" customWidth="1"/>
    <col min="12548" max="12548" width="13.85546875" style="132" bestFit="1" customWidth="1"/>
    <col min="12549" max="12549" width="5.5703125" style="132" bestFit="1" customWidth="1"/>
    <col min="12550" max="12550" width="13.85546875" style="132" bestFit="1" customWidth="1"/>
    <col min="12551" max="12551" width="12.85546875" style="132" bestFit="1" customWidth="1"/>
    <col min="12552" max="12552" width="11.85546875" style="132" bestFit="1" customWidth="1"/>
    <col min="12553" max="12553" width="18" style="132" bestFit="1" customWidth="1"/>
    <col min="12554" max="12554" width="12.85546875" style="132" bestFit="1" customWidth="1"/>
    <col min="12555" max="12555" width="11.85546875" style="132" bestFit="1" customWidth="1"/>
    <col min="12556" max="12556" width="10" style="132" bestFit="1" customWidth="1"/>
    <col min="12557" max="12557" width="6.5703125" style="132" bestFit="1" customWidth="1"/>
    <col min="12558" max="12558" width="8.5703125" style="132" bestFit="1" customWidth="1"/>
    <col min="12559" max="12559" width="12.85546875" style="132" bestFit="1" customWidth="1"/>
    <col min="12560" max="12560" width="13.85546875" style="132" bestFit="1" customWidth="1"/>
    <col min="12561" max="12561" width="7" style="132" bestFit="1" customWidth="1"/>
    <col min="12562" max="12562" width="30.42578125" style="132" bestFit="1" customWidth="1"/>
    <col min="12563" max="12563" width="14.28515625" style="132" customWidth="1"/>
    <col min="12564" max="12564" width="6.5703125" style="132" bestFit="1" customWidth="1"/>
    <col min="12565" max="12565" width="13.140625" style="132" bestFit="1" customWidth="1"/>
    <col min="12566" max="12566" width="4.7109375" style="132" bestFit="1" customWidth="1"/>
    <col min="12567" max="12800" width="11.42578125" style="132"/>
    <col min="12801" max="12801" width="3.28515625" style="132" customWidth="1"/>
    <col min="12802" max="12802" width="4.140625" style="132" bestFit="1" customWidth="1"/>
    <col min="12803" max="12803" width="32.7109375" style="132" bestFit="1" customWidth="1"/>
    <col min="12804" max="12804" width="13.85546875" style="132" bestFit="1" customWidth="1"/>
    <col min="12805" max="12805" width="5.5703125" style="132" bestFit="1" customWidth="1"/>
    <col min="12806" max="12806" width="13.85546875" style="132" bestFit="1" customWidth="1"/>
    <col min="12807" max="12807" width="12.85546875" style="132" bestFit="1" customWidth="1"/>
    <col min="12808" max="12808" width="11.85546875" style="132" bestFit="1" customWidth="1"/>
    <col min="12809" max="12809" width="18" style="132" bestFit="1" customWidth="1"/>
    <col min="12810" max="12810" width="12.85546875" style="132" bestFit="1" customWidth="1"/>
    <col min="12811" max="12811" width="11.85546875" style="132" bestFit="1" customWidth="1"/>
    <col min="12812" max="12812" width="10" style="132" bestFit="1" customWidth="1"/>
    <col min="12813" max="12813" width="6.5703125" style="132" bestFit="1" customWidth="1"/>
    <col min="12814" max="12814" width="8.5703125" style="132" bestFit="1" customWidth="1"/>
    <col min="12815" max="12815" width="12.85546875" style="132" bestFit="1" customWidth="1"/>
    <col min="12816" max="12816" width="13.85546875" style="132" bestFit="1" customWidth="1"/>
    <col min="12817" max="12817" width="7" style="132" bestFit="1" customWidth="1"/>
    <col min="12818" max="12818" width="30.42578125" style="132" bestFit="1" customWidth="1"/>
    <col min="12819" max="12819" width="14.28515625" style="132" customWidth="1"/>
    <col min="12820" max="12820" width="6.5703125" style="132" bestFit="1" customWidth="1"/>
    <col min="12821" max="12821" width="13.140625" style="132" bestFit="1" customWidth="1"/>
    <col min="12822" max="12822" width="4.7109375" style="132" bestFit="1" customWidth="1"/>
    <col min="12823" max="13056" width="11.42578125" style="132"/>
    <col min="13057" max="13057" width="3.28515625" style="132" customWidth="1"/>
    <col min="13058" max="13058" width="4.140625" style="132" bestFit="1" customWidth="1"/>
    <col min="13059" max="13059" width="32.7109375" style="132" bestFit="1" customWidth="1"/>
    <col min="13060" max="13060" width="13.85546875" style="132" bestFit="1" customWidth="1"/>
    <col min="13061" max="13061" width="5.5703125" style="132" bestFit="1" customWidth="1"/>
    <col min="13062" max="13062" width="13.85546875" style="132" bestFit="1" customWidth="1"/>
    <col min="13063" max="13063" width="12.85546875" style="132" bestFit="1" customWidth="1"/>
    <col min="13064" max="13064" width="11.85546875" style="132" bestFit="1" customWidth="1"/>
    <col min="13065" max="13065" width="18" style="132" bestFit="1" customWidth="1"/>
    <col min="13066" max="13066" width="12.85546875" style="132" bestFit="1" customWidth="1"/>
    <col min="13067" max="13067" width="11.85546875" style="132" bestFit="1" customWidth="1"/>
    <col min="13068" max="13068" width="10" style="132" bestFit="1" customWidth="1"/>
    <col min="13069" max="13069" width="6.5703125" style="132" bestFit="1" customWidth="1"/>
    <col min="13070" max="13070" width="8.5703125" style="132" bestFit="1" customWidth="1"/>
    <col min="13071" max="13071" width="12.85546875" style="132" bestFit="1" customWidth="1"/>
    <col min="13072" max="13072" width="13.85546875" style="132" bestFit="1" customWidth="1"/>
    <col min="13073" max="13073" width="7" style="132" bestFit="1" customWidth="1"/>
    <col min="13074" max="13074" width="30.42578125" style="132" bestFit="1" customWidth="1"/>
    <col min="13075" max="13075" width="14.28515625" style="132" customWidth="1"/>
    <col min="13076" max="13076" width="6.5703125" style="132" bestFit="1" customWidth="1"/>
    <col min="13077" max="13077" width="13.140625" style="132" bestFit="1" customWidth="1"/>
    <col min="13078" max="13078" width="4.7109375" style="132" bestFit="1" customWidth="1"/>
    <col min="13079" max="13312" width="11.42578125" style="132"/>
    <col min="13313" max="13313" width="3.28515625" style="132" customWidth="1"/>
    <col min="13314" max="13314" width="4.140625" style="132" bestFit="1" customWidth="1"/>
    <col min="13315" max="13315" width="32.7109375" style="132" bestFit="1" customWidth="1"/>
    <col min="13316" max="13316" width="13.85546875" style="132" bestFit="1" customWidth="1"/>
    <col min="13317" max="13317" width="5.5703125" style="132" bestFit="1" customWidth="1"/>
    <col min="13318" max="13318" width="13.85546875" style="132" bestFit="1" customWidth="1"/>
    <col min="13319" max="13319" width="12.85546875" style="132" bestFit="1" customWidth="1"/>
    <col min="13320" max="13320" width="11.85546875" style="132" bestFit="1" customWidth="1"/>
    <col min="13321" max="13321" width="18" style="132" bestFit="1" customWidth="1"/>
    <col min="13322" max="13322" width="12.85546875" style="132" bestFit="1" customWidth="1"/>
    <col min="13323" max="13323" width="11.85546875" style="132" bestFit="1" customWidth="1"/>
    <col min="13324" max="13324" width="10" style="132" bestFit="1" customWidth="1"/>
    <col min="13325" max="13325" width="6.5703125" style="132" bestFit="1" customWidth="1"/>
    <col min="13326" max="13326" width="8.5703125" style="132" bestFit="1" customWidth="1"/>
    <col min="13327" max="13327" width="12.85546875" style="132" bestFit="1" customWidth="1"/>
    <col min="13328" max="13328" width="13.85546875" style="132" bestFit="1" customWidth="1"/>
    <col min="13329" max="13329" width="7" style="132" bestFit="1" customWidth="1"/>
    <col min="13330" max="13330" width="30.42578125" style="132" bestFit="1" customWidth="1"/>
    <col min="13331" max="13331" width="14.28515625" style="132" customWidth="1"/>
    <col min="13332" max="13332" width="6.5703125" style="132" bestFit="1" customWidth="1"/>
    <col min="13333" max="13333" width="13.140625" style="132" bestFit="1" customWidth="1"/>
    <col min="13334" max="13334" width="4.7109375" style="132" bestFit="1" customWidth="1"/>
    <col min="13335" max="13568" width="11.42578125" style="132"/>
    <col min="13569" max="13569" width="3.28515625" style="132" customWidth="1"/>
    <col min="13570" max="13570" width="4.140625" style="132" bestFit="1" customWidth="1"/>
    <col min="13571" max="13571" width="32.7109375" style="132" bestFit="1" customWidth="1"/>
    <col min="13572" max="13572" width="13.85546875" style="132" bestFit="1" customWidth="1"/>
    <col min="13573" max="13573" width="5.5703125" style="132" bestFit="1" customWidth="1"/>
    <col min="13574" max="13574" width="13.85546875" style="132" bestFit="1" customWidth="1"/>
    <col min="13575" max="13575" width="12.85546875" style="132" bestFit="1" customWidth="1"/>
    <col min="13576" max="13576" width="11.85546875" style="132" bestFit="1" customWidth="1"/>
    <col min="13577" max="13577" width="18" style="132" bestFit="1" customWidth="1"/>
    <col min="13578" max="13578" width="12.85546875" style="132" bestFit="1" customWidth="1"/>
    <col min="13579" max="13579" width="11.85546875" style="132" bestFit="1" customWidth="1"/>
    <col min="13580" max="13580" width="10" style="132" bestFit="1" customWidth="1"/>
    <col min="13581" max="13581" width="6.5703125" style="132" bestFit="1" customWidth="1"/>
    <col min="13582" max="13582" width="8.5703125" style="132" bestFit="1" customWidth="1"/>
    <col min="13583" max="13583" width="12.85546875" style="132" bestFit="1" customWidth="1"/>
    <col min="13584" max="13584" width="13.85546875" style="132" bestFit="1" customWidth="1"/>
    <col min="13585" max="13585" width="7" style="132" bestFit="1" customWidth="1"/>
    <col min="13586" max="13586" width="30.42578125" style="132" bestFit="1" customWidth="1"/>
    <col min="13587" max="13587" width="14.28515625" style="132" customWidth="1"/>
    <col min="13588" max="13588" width="6.5703125" style="132" bestFit="1" customWidth="1"/>
    <col min="13589" max="13589" width="13.140625" style="132" bestFit="1" customWidth="1"/>
    <col min="13590" max="13590" width="4.7109375" style="132" bestFit="1" customWidth="1"/>
    <col min="13591" max="13824" width="11.42578125" style="132"/>
    <col min="13825" max="13825" width="3.28515625" style="132" customWidth="1"/>
    <col min="13826" max="13826" width="4.140625" style="132" bestFit="1" customWidth="1"/>
    <col min="13827" max="13827" width="32.7109375" style="132" bestFit="1" customWidth="1"/>
    <col min="13828" max="13828" width="13.85546875" style="132" bestFit="1" customWidth="1"/>
    <col min="13829" max="13829" width="5.5703125" style="132" bestFit="1" customWidth="1"/>
    <col min="13830" max="13830" width="13.85546875" style="132" bestFit="1" customWidth="1"/>
    <col min="13831" max="13831" width="12.85546875" style="132" bestFit="1" customWidth="1"/>
    <col min="13832" max="13832" width="11.85546875" style="132" bestFit="1" customWidth="1"/>
    <col min="13833" max="13833" width="18" style="132" bestFit="1" customWidth="1"/>
    <col min="13834" max="13834" width="12.85546875" style="132" bestFit="1" customWidth="1"/>
    <col min="13835" max="13835" width="11.85546875" style="132" bestFit="1" customWidth="1"/>
    <col min="13836" max="13836" width="10" style="132" bestFit="1" customWidth="1"/>
    <col min="13837" max="13837" width="6.5703125" style="132" bestFit="1" customWidth="1"/>
    <col min="13838" max="13838" width="8.5703125" style="132" bestFit="1" customWidth="1"/>
    <col min="13839" max="13839" width="12.85546875" style="132" bestFit="1" customWidth="1"/>
    <col min="13840" max="13840" width="13.85546875" style="132" bestFit="1" customWidth="1"/>
    <col min="13841" max="13841" width="7" style="132" bestFit="1" customWidth="1"/>
    <col min="13842" max="13842" width="30.42578125" style="132" bestFit="1" customWidth="1"/>
    <col min="13843" max="13843" width="14.28515625" style="132" customWidth="1"/>
    <col min="13844" max="13844" width="6.5703125" style="132" bestFit="1" customWidth="1"/>
    <col min="13845" max="13845" width="13.140625" style="132" bestFit="1" customWidth="1"/>
    <col min="13846" max="13846" width="4.7109375" style="132" bestFit="1" customWidth="1"/>
    <col min="13847" max="14080" width="11.42578125" style="132"/>
    <col min="14081" max="14081" width="3.28515625" style="132" customWidth="1"/>
    <col min="14082" max="14082" width="4.140625" style="132" bestFit="1" customWidth="1"/>
    <col min="14083" max="14083" width="32.7109375" style="132" bestFit="1" customWidth="1"/>
    <col min="14084" max="14084" width="13.85546875" style="132" bestFit="1" customWidth="1"/>
    <col min="14085" max="14085" width="5.5703125" style="132" bestFit="1" customWidth="1"/>
    <col min="14086" max="14086" width="13.85546875" style="132" bestFit="1" customWidth="1"/>
    <col min="14087" max="14087" width="12.85546875" style="132" bestFit="1" customWidth="1"/>
    <col min="14088" max="14088" width="11.85546875" style="132" bestFit="1" customWidth="1"/>
    <col min="14089" max="14089" width="18" style="132" bestFit="1" customWidth="1"/>
    <col min="14090" max="14090" width="12.85546875" style="132" bestFit="1" customWidth="1"/>
    <col min="14091" max="14091" width="11.85546875" style="132" bestFit="1" customWidth="1"/>
    <col min="14092" max="14092" width="10" style="132" bestFit="1" customWidth="1"/>
    <col min="14093" max="14093" width="6.5703125" style="132" bestFit="1" customWidth="1"/>
    <col min="14094" max="14094" width="8.5703125" style="132" bestFit="1" customWidth="1"/>
    <col min="14095" max="14095" width="12.85546875" style="132" bestFit="1" customWidth="1"/>
    <col min="14096" max="14096" width="13.85546875" style="132" bestFit="1" customWidth="1"/>
    <col min="14097" max="14097" width="7" style="132" bestFit="1" customWidth="1"/>
    <col min="14098" max="14098" width="30.42578125" style="132" bestFit="1" customWidth="1"/>
    <col min="14099" max="14099" width="14.28515625" style="132" customWidth="1"/>
    <col min="14100" max="14100" width="6.5703125" style="132" bestFit="1" customWidth="1"/>
    <col min="14101" max="14101" width="13.140625" style="132" bestFit="1" customWidth="1"/>
    <col min="14102" max="14102" width="4.7109375" style="132" bestFit="1" customWidth="1"/>
    <col min="14103" max="14336" width="11.42578125" style="132"/>
    <col min="14337" max="14337" width="3.28515625" style="132" customWidth="1"/>
    <col min="14338" max="14338" width="4.140625" style="132" bestFit="1" customWidth="1"/>
    <col min="14339" max="14339" width="32.7109375" style="132" bestFit="1" customWidth="1"/>
    <col min="14340" max="14340" width="13.85546875" style="132" bestFit="1" customWidth="1"/>
    <col min="14341" max="14341" width="5.5703125" style="132" bestFit="1" customWidth="1"/>
    <col min="14342" max="14342" width="13.85546875" style="132" bestFit="1" customWidth="1"/>
    <col min="14343" max="14343" width="12.85546875" style="132" bestFit="1" customWidth="1"/>
    <col min="14344" max="14344" width="11.85546875" style="132" bestFit="1" customWidth="1"/>
    <col min="14345" max="14345" width="18" style="132" bestFit="1" customWidth="1"/>
    <col min="14346" max="14346" width="12.85546875" style="132" bestFit="1" customWidth="1"/>
    <col min="14347" max="14347" width="11.85546875" style="132" bestFit="1" customWidth="1"/>
    <col min="14348" max="14348" width="10" style="132" bestFit="1" customWidth="1"/>
    <col min="14349" max="14349" width="6.5703125" style="132" bestFit="1" customWidth="1"/>
    <col min="14350" max="14350" width="8.5703125" style="132" bestFit="1" customWidth="1"/>
    <col min="14351" max="14351" width="12.85546875" style="132" bestFit="1" customWidth="1"/>
    <col min="14352" max="14352" width="13.85546875" style="132" bestFit="1" customWidth="1"/>
    <col min="14353" max="14353" width="7" style="132" bestFit="1" customWidth="1"/>
    <col min="14354" max="14354" width="30.42578125" style="132" bestFit="1" customWidth="1"/>
    <col min="14355" max="14355" width="14.28515625" style="132" customWidth="1"/>
    <col min="14356" max="14356" width="6.5703125" style="132" bestFit="1" customWidth="1"/>
    <col min="14357" max="14357" width="13.140625" style="132" bestFit="1" customWidth="1"/>
    <col min="14358" max="14358" width="4.7109375" style="132" bestFit="1" customWidth="1"/>
    <col min="14359" max="14592" width="11.42578125" style="132"/>
    <col min="14593" max="14593" width="3.28515625" style="132" customWidth="1"/>
    <col min="14594" max="14594" width="4.140625" style="132" bestFit="1" customWidth="1"/>
    <col min="14595" max="14595" width="32.7109375" style="132" bestFit="1" customWidth="1"/>
    <col min="14596" max="14596" width="13.85546875" style="132" bestFit="1" customWidth="1"/>
    <col min="14597" max="14597" width="5.5703125" style="132" bestFit="1" customWidth="1"/>
    <col min="14598" max="14598" width="13.85546875" style="132" bestFit="1" customWidth="1"/>
    <col min="14599" max="14599" width="12.85546875" style="132" bestFit="1" customWidth="1"/>
    <col min="14600" max="14600" width="11.85546875" style="132" bestFit="1" customWidth="1"/>
    <col min="14601" max="14601" width="18" style="132" bestFit="1" customWidth="1"/>
    <col min="14602" max="14602" width="12.85546875" style="132" bestFit="1" customWidth="1"/>
    <col min="14603" max="14603" width="11.85546875" style="132" bestFit="1" customWidth="1"/>
    <col min="14604" max="14604" width="10" style="132" bestFit="1" customWidth="1"/>
    <col min="14605" max="14605" width="6.5703125" style="132" bestFit="1" customWidth="1"/>
    <col min="14606" max="14606" width="8.5703125" style="132" bestFit="1" customWidth="1"/>
    <col min="14607" max="14607" width="12.85546875" style="132" bestFit="1" customWidth="1"/>
    <col min="14608" max="14608" width="13.85546875" style="132" bestFit="1" customWidth="1"/>
    <col min="14609" max="14609" width="7" style="132" bestFit="1" customWidth="1"/>
    <col min="14610" max="14610" width="30.42578125" style="132" bestFit="1" customWidth="1"/>
    <col min="14611" max="14611" width="14.28515625" style="132" customWidth="1"/>
    <col min="14612" max="14612" width="6.5703125" style="132" bestFit="1" customWidth="1"/>
    <col min="14613" max="14613" width="13.140625" style="132" bestFit="1" customWidth="1"/>
    <col min="14614" max="14614" width="4.7109375" style="132" bestFit="1" customWidth="1"/>
    <col min="14615" max="14848" width="11.42578125" style="132"/>
    <col min="14849" max="14849" width="3.28515625" style="132" customWidth="1"/>
    <col min="14850" max="14850" width="4.140625" style="132" bestFit="1" customWidth="1"/>
    <col min="14851" max="14851" width="32.7109375" style="132" bestFit="1" customWidth="1"/>
    <col min="14852" max="14852" width="13.85546875" style="132" bestFit="1" customWidth="1"/>
    <col min="14853" max="14853" width="5.5703125" style="132" bestFit="1" customWidth="1"/>
    <col min="14854" max="14854" width="13.85546875" style="132" bestFit="1" customWidth="1"/>
    <col min="14855" max="14855" width="12.85546875" style="132" bestFit="1" customWidth="1"/>
    <col min="14856" max="14856" width="11.85546875" style="132" bestFit="1" customWidth="1"/>
    <col min="14857" max="14857" width="18" style="132" bestFit="1" customWidth="1"/>
    <col min="14858" max="14858" width="12.85546875" style="132" bestFit="1" customWidth="1"/>
    <col min="14859" max="14859" width="11.85546875" style="132" bestFit="1" customWidth="1"/>
    <col min="14860" max="14860" width="10" style="132" bestFit="1" customWidth="1"/>
    <col min="14861" max="14861" width="6.5703125" style="132" bestFit="1" customWidth="1"/>
    <col min="14862" max="14862" width="8.5703125" style="132" bestFit="1" customWidth="1"/>
    <col min="14863" max="14863" width="12.85546875" style="132" bestFit="1" customWidth="1"/>
    <col min="14864" max="14864" width="13.85546875" style="132" bestFit="1" customWidth="1"/>
    <col min="14865" max="14865" width="7" style="132" bestFit="1" customWidth="1"/>
    <col min="14866" max="14866" width="30.42578125" style="132" bestFit="1" customWidth="1"/>
    <col min="14867" max="14867" width="14.28515625" style="132" customWidth="1"/>
    <col min="14868" max="14868" width="6.5703125" style="132" bestFit="1" customWidth="1"/>
    <col min="14869" max="14869" width="13.140625" style="132" bestFit="1" customWidth="1"/>
    <col min="14870" max="14870" width="4.7109375" style="132" bestFit="1" customWidth="1"/>
    <col min="14871" max="15104" width="11.42578125" style="132"/>
    <col min="15105" max="15105" width="3.28515625" style="132" customWidth="1"/>
    <col min="15106" max="15106" width="4.140625" style="132" bestFit="1" customWidth="1"/>
    <col min="15107" max="15107" width="32.7109375" style="132" bestFit="1" customWidth="1"/>
    <col min="15108" max="15108" width="13.85546875" style="132" bestFit="1" customWidth="1"/>
    <col min="15109" max="15109" width="5.5703125" style="132" bestFit="1" customWidth="1"/>
    <col min="15110" max="15110" width="13.85546875" style="132" bestFit="1" customWidth="1"/>
    <col min="15111" max="15111" width="12.85546875" style="132" bestFit="1" customWidth="1"/>
    <col min="15112" max="15112" width="11.85546875" style="132" bestFit="1" customWidth="1"/>
    <col min="15113" max="15113" width="18" style="132" bestFit="1" customWidth="1"/>
    <col min="15114" max="15114" width="12.85546875" style="132" bestFit="1" customWidth="1"/>
    <col min="15115" max="15115" width="11.85546875" style="132" bestFit="1" customWidth="1"/>
    <col min="15116" max="15116" width="10" style="132" bestFit="1" customWidth="1"/>
    <col min="15117" max="15117" width="6.5703125" style="132" bestFit="1" customWidth="1"/>
    <col min="15118" max="15118" width="8.5703125" style="132" bestFit="1" customWidth="1"/>
    <col min="15119" max="15119" width="12.85546875" style="132" bestFit="1" customWidth="1"/>
    <col min="15120" max="15120" width="13.85546875" style="132" bestFit="1" customWidth="1"/>
    <col min="15121" max="15121" width="7" style="132" bestFit="1" customWidth="1"/>
    <col min="15122" max="15122" width="30.42578125" style="132" bestFit="1" customWidth="1"/>
    <col min="15123" max="15123" width="14.28515625" style="132" customWidth="1"/>
    <col min="15124" max="15124" width="6.5703125" style="132" bestFit="1" customWidth="1"/>
    <col min="15125" max="15125" width="13.140625" style="132" bestFit="1" customWidth="1"/>
    <col min="15126" max="15126" width="4.7109375" style="132" bestFit="1" customWidth="1"/>
    <col min="15127" max="15360" width="11.42578125" style="132"/>
    <col min="15361" max="15361" width="3.28515625" style="132" customWidth="1"/>
    <col min="15362" max="15362" width="4.140625" style="132" bestFit="1" customWidth="1"/>
    <col min="15363" max="15363" width="32.7109375" style="132" bestFit="1" customWidth="1"/>
    <col min="15364" max="15364" width="13.85546875" style="132" bestFit="1" customWidth="1"/>
    <col min="15365" max="15365" width="5.5703125" style="132" bestFit="1" customWidth="1"/>
    <col min="15366" max="15366" width="13.85546875" style="132" bestFit="1" customWidth="1"/>
    <col min="15367" max="15367" width="12.85546875" style="132" bestFit="1" customWidth="1"/>
    <col min="15368" max="15368" width="11.85546875" style="132" bestFit="1" customWidth="1"/>
    <col min="15369" max="15369" width="18" style="132" bestFit="1" customWidth="1"/>
    <col min="15370" max="15370" width="12.85546875" style="132" bestFit="1" customWidth="1"/>
    <col min="15371" max="15371" width="11.85546875" style="132" bestFit="1" customWidth="1"/>
    <col min="15372" max="15372" width="10" style="132" bestFit="1" customWidth="1"/>
    <col min="15373" max="15373" width="6.5703125" style="132" bestFit="1" customWidth="1"/>
    <col min="15374" max="15374" width="8.5703125" style="132" bestFit="1" customWidth="1"/>
    <col min="15375" max="15375" width="12.85546875" style="132" bestFit="1" customWidth="1"/>
    <col min="15376" max="15376" width="13.85546875" style="132" bestFit="1" customWidth="1"/>
    <col min="15377" max="15377" width="7" style="132" bestFit="1" customWidth="1"/>
    <col min="15378" max="15378" width="30.42578125" style="132" bestFit="1" customWidth="1"/>
    <col min="15379" max="15379" width="14.28515625" style="132" customWidth="1"/>
    <col min="15380" max="15380" width="6.5703125" style="132" bestFit="1" customWidth="1"/>
    <col min="15381" max="15381" width="13.140625" style="132" bestFit="1" customWidth="1"/>
    <col min="15382" max="15382" width="4.7109375" style="132" bestFit="1" customWidth="1"/>
    <col min="15383" max="15616" width="11.42578125" style="132"/>
    <col min="15617" max="15617" width="3.28515625" style="132" customWidth="1"/>
    <col min="15618" max="15618" width="4.140625" style="132" bestFit="1" customWidth="1"/>
    <col min="15619" max="15619" width="32.7109375" style="132" bestFit="1" customWidth="1"/>
    <col min="15620" max="15620" width="13.85546875" style="132" bestFit="1" customWidth="1"/>
    <col min="15621" max="15621" width="5.5703125" style="132" bestFit="1" customWidth="1"/>
    <col min="15622" max="15622" width="13.85546875" style="132" bestFit="1" customWidth="1"/>
    <col min="15623" max="15623" width="12.85546875" style="132" bestFit="1" customWidth="1"/>
    <col min="15624" max="15624" width="11.85546875" style="132" bestFit="1" customWidth="1"/>
    <col min="15625" max="15625" width="18" style="132" bestFit="1" customWidth="1"/>
    <col min="15626" max="15626" width="12.85546875" style="132" bestFit="1" customWidth="1"/>
    <col min="15627" max="15627" width="11.85546875" style="132" bestFit="1" customWidth="1"/>
    <col min="15628" max="15628" width="10" style="132" bestFit="1" customWidth="1"/>
    <col min="15629" max="15629" width="6.5703125" style="132" bestFit="1" customWidth="1"/>
    <col min="15630" max="15630" width="8.5703125" style="132" bestFit="1" customWidth="1"/>
    <col min="15631" max="15631" width="12.85546875" style="132" bestFit="1" customWidth="1"/>
    <col min="15632" max="15632" width="13.85546875" style="132" bestFit="1" customWidth="1"/>
    <col min="15633" max="15633" width="7" style="132" bestFit="1" customWidth="1"/>
    <col min="15634" max="15634" width="30.42578125" style="132" bestFit="1" customWidth="1"/>
    <col min="15635" max="15635" width="14.28515625" style="132" customWidth="1"/>
    <col min="15636" max="15636" width="6.5703125" style="132" bestFit="1" customWidth="1"/>
    <col min="15637" max="15637" width="13.140625" style="132" bestFit="1" customWidth="1"/>
    <col min="15638" max="15638" width="4.7109375" style="132" bestFit="1" customWidth="1"/>
    <col min="15639" max="15872" width="11.42578125" style="132"/>
    <col min="15873" max="15873" width="3.28515625" style="132" customWidth="1"/>
    <col min="15874" max="15874" width="4.140625" style="132" bestFit="1" customWidth="1"/>
    <col min="15875" max="15875" width="32.7109375" style="132" bestFit="1" customWidth="1"/>
    <col min="15876" max="15876" width="13.85546875" style="132" bestFit="1" customWidth="1"/>
    <col min="15877" max="15877" width="5.5703125" style="132" bestFit="1" customWidth="1"/>
    <col min="15878" max="15878" width="13.85546875" style="132" bestFit="1" customWidth="1"/>
    <col min="15879" max="15879" width="12.85546875" style="132" bestFit="1" customWidth="1"/>
    <col min="15880" max="15880" width="11.85546875" style="132" bestFit="1" customWidth="1"/>
    <col min="15881" max="15881" width="18" style="132" bestFit="1" customWidth="1"/>
    <col min="15882" max="15882" width="12.85546875" style="132" bestFit="1" customWidth="1"/>
    <col min="15883" max="15883" width="11.85546875" style="132" bestFit="1" customWidth="1"/>
    <col min="15884" max="15884" width="10" style="132" bestFit="1" customWidth="1"/>
    <col min="15885" max="15885" width="6.5703125" style="132" bestFit="1" customWidth="1"/>
    <col min="15886" max="15886" width="8.5703125" style="132" bestFit="1" customWidth="1"/>
    <col min="15887" max="15887" width="12.85546875" style="132" bestFit="1" customWidth="1"/>
    <col min="15888" max="15888" width="13.85546875" style="132" bestFit="1" customWidth="1"/>
    <col min="15889" max="15889" width="7" style="132" bestFit="1" customWidth="1"/>
    <col min="15890" max="15890" width="30.42578125" style="132" bestFit="1" customWidth="1"/>
    <col min="15891" max="15891" width="14.28515625" style="132" customWidth="1"/>
    <col min="15892" max="15892" width="6.5703125" style="132" bestFit="1" customWidth="1"/>
    <col min="15893" max="15893" width="13.140625" style="132" bestFit="1" customWidth="1"/>
    <col min="15894" max="15894" width="4.7109375" style="132" bestFit="1" customWidth="1"/>
    <col min="15895" max="16128" width="11.42578125" style="132"/>
    <col min="16129" max="16129" width="3.28515625" style="132" customWidth="1"/>
    <col min="16130" max="16130" width="4.140625" style="132" bestFit="1" customWidth="1"/>
    <col min="16131" max="16131" width="32.7109375" style="132" bestFit="1" customWidth="1"/>
    <col min="16132" max="16132" width="13.85546875" style="132" bestFit="1" customWidth="1"/>
    <col min="16133" max="16133" width="5.5703125" style="132" bestFit="1" customWidth="1"/>
    <col min="16134" max="16134" width="13.85546875" style="132" bestFit="1" customWidth="1"/>
    <col min="16135" max="16135" width="12.85546875" style="132" bestFit="1" customWidth="1"/>
    <col min="16136" max="16136" width="11.85546875" style="132" bestFit="1" customWidth="1"/>
    <col min="16137" max="16137" width="18" style="132" bestFit="1" customWidth="1"/>
    <col min="16138" max="16138" width="12.85546875" style="132" bestFit="1" customWidth="1"/>
    <col min="16139" max="16139" width="11.85546875" style="132" bestFit="1" customWidth="1"/>
    <col min="16140" max="16140" width="10" style="132" bestFit="1" customWidth="1"/>
    <col min="16141" max="16141" width="6.5703125" style="132" bestFit="1" customWidth="1"/>
    <col min="16142" max="16142" width="8.5703125" style="132" bestFit="1" customWidth="1"/>
    <col min="16143" max="16143" width="12.85546875" style="132" bestFit="1" customWidth="1"/>
    <col min="16144" max="16144" width="13.85546875" style="132" bestFit="1" customWidth="1"/>
    <col min="16145" max="16145" width="7" style="132" bestFit="1" customWidth="1"/>
    <col min="16146" max="16146" width="30.42578125" style="132" bestFit="1" customWidth="1"/>
    <col min="16147" max="16147" width="14.28515625" style="132" customWidth="1"/>
    <col min="16148" max="16148" width="6.5703125" style="132" bestFit="1" customWidth="1"/>
    <col min="16149" max="16149" width="13.140625" style="132" bestFit="1" customWidth="1"/>
    <col min="16150" max="16150" width="4.7109375" style="132" bestFit="1" customWidth="1"/>
    <col min="16151" max="16384" width="11.42578125" style="132"/>
  </cols>
  <sheetData>
    <row r="2" spans="2:16" ht="15.75" x14ac:dyDescent="0.25">
      <c r="B2" s="131" t="s">
        <v>240</v>
      </c>
      <c r="G2" s="132">
        <v>4600</v>
      </c>
      <c r="H2" s="132">
        <v>12</v>
      </c>
      <c r="I2" s="132">
        <f>+G2/H2</f>
        <v>383.33333333333331</v>
      </c>
      <c r="J2" s="132">
        <f>20*12</f>
        <v>240</v>
      </c>
      <c r="K2" s="132">
        <f>+I2/J2</f>
        <v>1.5972222222222221</v>
      </c>
    </row>
    <row r="3" spans="2:16" ht="13.5" thickBot="1" x14ac:dyDescent="0.25"/>
    <row r="4" spans="2:16" s="141" customFormat="1" ht="38.25" customHeight="1" thickBot="1" x14ac:dyDescent="0.25">
      <c r="B4" s="133" t="s">
        <v>241</v>
      </c>
      <c r="C4" s="134" t="s">
        <v>242</v>
      </c>
      <c r="D4" s="135" t="s">
        <v>243</v>
      </c>
      <c r="E4" s="136" t="s">
        <v>244</v>
      </c>
      <c r="F4" s="137" t="s">
        <v>245</v>
      </c>
      <c r="G4" s="138" t="s">
        <v>281</v>
      </c>
      <c r="H4" s="138" t="s">
        <v>247</v>
      </c>
      <c r="I4" s="139" t="s">
        <v>248</v>
      </c>
      <c r="J4" s="138" t="s">
        <v>250</v>
      </c>
      <c r="K4" s="138" t="s">
        <v>282</v>
      </c>
      <c r="L4" s="138" t="s">
        <v>271</v>
      </c>
      <c r="M4" s="138" t="s">
        <v>283</v>
      </c>
      <c r="N4" s="138" t="s">
        <v>253</v>
      </c>
      <c r="O4" s="135" t="s">
        <v>254</v>
      </c>
    </row>
    <row r="5" spans="2:16" x14ac:dyDescent="0.2">
      <c r="B5" s="142">
        <v>1</v>
      </c>
      <c r="C5" s="143" t="s">
        <v>278</v>
      </c>
      <c r="D5" s="144">
        <v>616000</v>
      </c>
      <c r="E5" s="145">
        <v>30</v>
      </c>
      <c r="F5" s="146">
        <v>700000</v>
      </c>
      <c r="G5" s="147">
        <v>800000</v>
      </c>
      <c r="H5" s="147">
        <v>72000</v>
      </c>
      <c r="I5" s="148">
        <f>+F5+G5+H5</f>
        <v>1572000</v>
      </c>
      <c r="J5" s="147">
        <f>+I5*0.12</f>
        <v>188640</v>
      </c>
      <c r="K5" s="147">
        <f>+I5/12</f>
        <v>131000</v>
      </c>
      <c r="L5" s="147">
        <f>+I5/12</f>
        <v>131000</v>
      </c>
      <c r="M5" s="147">
        <f>+I5*0.12/12</f>
        <v>15720</v>
      </c>
      <c r="N5" s="147">
        <f>+I5*0.04</f>
        <v>62880</v>
      </c>
      <c r="O5" s="149">
        <f>+SUM(I5:N5)</f>
        <v>2101240</v>
      </c>
    </row>
    <row r="6" spans="2:16" x14ac:dyDescent="0.2">
      <c r="B6" s="142">
        <v>2</v>
      </c>
      <c r="C6" s="143" t="s">
        <v>279</v>
      </c>
      <c r="D6" s="150">
        <v>1500000</v>
      </c>
      <c r="E6" s="145">
        <v>30</v>
      </c>
      <c r="F6" s="146">
        <v>1500000</v>
      </c>
      <c r="G6" s="147">
        <v>500000</v>
      </c>
      <c r="H6" s="147"/>
      <c r="I6" s="148">
        <f t="shared" ref="I6:I7" si="0">+F6+G6+H6</f>
        <v>2000000</v>
      </c>
      <c r="J6" s="147">
        <f>+I6*0.12</f>
        <v>240000</v>
      </c>
      <c r="K6" s="147">
        <f t="shared" ref="K6:K7" si="1">+I6/12</f>
        <v>166666.66666666666</v>
      </c>
      <c r="L6" s="147">
        <f t="shared" ref="L6:L7" si="2">+I6/12</f>
        <v>166666.66666666666</v>
      </c>
      <c r="M6" s="147">
        <f t="shared" ref="M6:M7" si="3">+I6*0.12/12</f>
        <v>20000</v>
      </c>
      <c r="N6" s="147">
        <f t="shared" ref="N6:N7" si="4">+I6*0.04</f>
        <v>80000</v>
      </c>
      <c r="O6" s="149">
        <f>+I6+J6+N6</f>
        <v>2320000</v>
      </c>
    </row>
    <row r="7" spans="2:16" x14ac:dyDescent="0.2">
      <c r="B7" s="142">
        <v>3</v>
      </c>
      <c r="C7" s="143" t="s">
        <v>280</v>
      </c>
      <c r="D7" s="150"/>
      <c r="E7" s="151">
        <v>30</v>
      </c>
      <c r="F7" s="146">
        <v>616000</v>
      </c>
      <c r="G7" s="152">
        <v>800000</v>
      </c>
      <c r="H7" s="147">
        <v>72000</v>
      </c>
      <c r="I7" s="148">
        <f t="shared" si="0"/>
        <v>1488000</v>
      </c>
      <c r="J7" s="147">
        <f>+I7*0.12</f>
        <v>178560</v>
      </c>
      <c r="K7" s="147">
        <f t="shared" si="1"/>
        <v>124000</v>
      </c>
      <c r="L7" s="147">
        <f t="shared" si="2"/>
        <v>124000</v>
      </c>
      <c r="M7" s="147">
        <f t="shared" si="3"/>
        <v>14880</v>
      </c>
      <c r="N7" s="147">
        <f t="shared" si="4"/>
        <v>59520</v>
      </c>
      <c r="O7" s="149">
        <f>+I7+J7+N7</f>
        <v>1726080</v>
      </c>
    </row>
    <row r="8" spans="2:16" x14ac:dyDescent="0.2">
      <c r="B8" s="142">
        <v>4</v>
      </c>
      <c r="C8" s="143"/>
      <c r="D8" s="150"/>
      <c r="E8" s="151"/>
      <c r="F8" s="146"/>
      <c r="G8" s="152"/>
      <c r="H8" s="147"/>
      <c r="I8" s="148"/>
      <c r="J8" s="147"/>
      <c r="K8" s="152"/>
      <c r="L8" s="152"/>
      <c r="M8" s="152"/>
      <c r="N8" s="152"/>
      <c r="O8" s="149"/>
    </row>
    <row r="9" spans="2:16" x14ac:dyDescent="0.2">
      <c r="B9" s="142">
        <v>5</v>
      </c>
      <c r="C9" s="143"/>
      <c r="D9" s="150"/>
      <c r="E9" s="151">
        <v>20</v>
      </c>
      <c r="F9" s="146"/>
      <c r="G9" s="152"/>
      <c r="H9" s="147"/>
      <c r="I9" s="148"/>
      <c r="J9" s="147"/>
      <c r="K9" s="152"/>
      <c r="L9" s="152"/>
      <c r="M9" s="152"/>
      <c r="N9" s="152"/>
      <c r="O9" s="149"/>
    </row>
    <row r="10" spans="2:16" x14ac:dyDescent="0.2">
      <c r="B10" s="142">
        <v>6</v>
      </c>
      <c r="C10" s="153"/>
      <c r="D10" s="154"/>
      <c r="E10" s="151"/>
      <c r="F10" s="146"/>
      <c r="G10" s="152"/>
      <c r="H10" s="147"/>
      <c r="I10" s="148"/>
      <c r="J10" s="147"/>
      <c r="K10" s="152"/>
      <c r="L10" s="152"/>
      <c r="M10" s="152"/>
      <c r="N10" s="152"/>
      <c r="O10" s="149"/>
    </row>
    <row r="11" spans="2:16" ht="13.5" thickBot="1" x14ac:dyDescent="0.25">
      <c r="B11" s="142">
        <v>7</v>
      </c>
      <c r="C11" s="153"/>
      <c r="D11" s="155"/>
      <c r="E11" s="151">
        <v>0</v>
      </c>
      <c r="F11" s="146"/>
      <c r="G11" s="152"/>
      <c r="H11" s="147"/>
      <c r="I11" s="148"/>
      <c r="J11" s="147"/>
      <c r="K11" s="152"/>
      <c r="L11" s="152"/>
      <c r="M11" s="152"/>
      <c r="N11" s="152"/>
      <c r="O11" s="149"/>
    </row>
    <row r="12" spans="2:16" s="159" customFormat="1" ht="13.5" thickBot="1" x14ac:dyDescent="0.25">
      <c r="B12" s="156"/>
      <c r="C12" s="157" t="s">
        <v>255</v>
      </c>
      <c r="D12" s="158"/>
      <c r="E12" s="158"/>
      <c r="F12" s="158"/>
      <c r="G12" s="158">
        <v>0</v>
      </c>
      <c r="H12" s="158"/>
      <c r="I12" s="158"/>
      <c r="J12" s="158"/>
      <c r="K12" s="158"/>
      <c r="L12" s="158"/>
      <c r="M12" s="158"/>
      <c r="N12" s="158"/>
      <c r="O12" s="158">
        <f>+SUM(O5:O7)</f>
        <v>6147320</v>
      </c>
    </row>
    <row r="13" spans="2:16" x14ac:dyDescent="0.2">
      <c r="N13" s="132" t="s">
        <v>284</v>
      </c>
      <c r="O13" s="132">
        <f>+O12*12</f>
        <v>73767840</v>
      </c>
      <c r="P13" s="160"/>
    </row>
    <row r="14" spans="2:16" x14ac:dyDescent="0.2">
      <c r="C14" s="204"/>
      <c r="D14" s="204"/>
      <c r="E14" s="153"/>
      <c r="F14" s="204"/>
      <c r="G14" s="204"/>
      <c r="H14" s="153"/>
      <c r="I14" s="204"/>
      <c r="J14" s="204"/>
    </row>
    <row r="15" spans="2:16" x14ac:dyDescent="0.2">
      <c r="C15" s="175"/>
      <c r="D15" s="153"/>
      <c r="E15" s="153"/>
      <c r="F15" s="175"/>
      <c r="G15" s="153"/>
      <c r="H15" s="153"/>
      <c r="I15" s="175"/>
      <c r="J15" s="153"/>
      <c r="K15" s="132">
        <v>5</v>
      </c>
      <c r="L15" s="132">
        <f>+K15*5</f>
        <v>25</v>
      </c>
      <c r="M15" s="132">
        <f>+L15*4</f>
        <v>100</v>
      </c>
      <c r="O15" s="132">
        <f>+M15*10</f>
        <v>1000</v>
      </c>
      <c r="P15" s="132">
        <f>1200*5</f>
        <v>6000</v>
      </c>
    </row>
    <row r="16" spans="2:16" x14ac:dyDescent="0.2">
      <c r="C16" s="174"/>
      <c r="D16" s="174" t="s">
        <v>286</v>
      </c>
      <c r="E16" s="174" t="s">
        <v>287</v>
      </c>
      <c r="F16" s="174" t="s">
        <v>288</v>
      </c>
      <c r="G16" s="153"/>
      <c r="H16" s="153"/>
      <c r="I16" s="175"/>
      <c r="J16" s="153"/>
    </row>
    <row r="17" spans="1:22" x14ac:dyDescent="0.2">
      <c r="C17" s="174" t="s">
        <v>285</v>
      </c>
      <c r="D17" s="174">
        <v>60000</v>
      </c>
      <c r="E17" s="174">
        <f>+M15</f>
        <v>100</v>
      </c>
      <c r="F17" s="174">
        <f>+D17*E17</f>
        <v>6000000</v>
      </c>
      <c r="G17" s="153"/>
      <c r="H17" s="153"/>
      <c r="I17" s="175"/>
      <c r="J17" s="153"/>
    </row>
    <row r="18" spans="1:22" x14ac:dyDescent="0.2">
      <c r="E18" s="174" t="s">
        <v>289</v>
      </c>
      <c r="F18" s="174">
        <f>+F17*10</f>
        <v>60000000</v>
      </c>
      <c r="G18" s="153"/>
      <c r="H18" s="153"/>
      <c r="I18" s="175"/>
      <c r="J18" s="153"/>
    </row>
    <row r="19" spans="1:22" x14ac:dyDescent="0.2">
      <c r="G19" s="153"/>
      <c r="H19" s="153"/>
      <c r="I19" s="175"/>
      <c r="J19" s="153"/>
    </row>
    <row r="20" spans="1:22" x14ac:dyDescent="0.2">
      <c r="E20" s="159" t="s">
        <v>290</v>
      </c>
      <c r="F20" s="159">
        <f>+O13+F18</f>
        <v>133767840</v>
      </c>
      <c r="G20" s="177"/>
      <c r="H20" s="153"/>
      <c r="I20" s="175"/>
      <c r="J20" s="153"/>
    </row>
    <row r="21" spans="1:22" x14ac:dyDescent="0.2">
      <c r="C21" s="153"/>
      <c r="D21" s="153"/>
      <c r="E21" s="153"/>
      <c r="F21" s="153"/>
      <c r="G21" s="153"/>
      <c r="H21" s="153"/>
      <c r="I21" s="176"/>
      <c r="J21" s="177"/>
    </row>
    <row r="22" spans="1:22" x14ac:dyDescent="0.2">
      <c r="C22" s="204"/>
      <c r="D22" s="204"/>
      <c r="E22" s="178"/>
      <c r="F22" s="153"/>
      <c r="G22" s="153"/>
      <c r="H22" s="153"/>
      <c r="I22" s="153"/>
      <c r="J22" s="153"/>
      <c r="S22" s="205"/>
      <c r="T22" s="205"/>
      <c r="U22" s="203"/>
      <c r="V22" s="203"/>
    </row>
    <row r="23" spans="1:22" x14ac:dyDescent="0.2">
      <c r="C23" s="175"/>
      <c r="D23" s="153"/>
      <c r="E23" s="153"/>
      <c r="F23" s="153"/>
      <c r="G23" s="153"/>
      <c r="H23" s="153"/>
      <c r="I23" s="153"/>
      <c r="J23" s="153"/>
    </row>
    <row r="24" spans="1:22" x14ac:dyDescent="0.2">
      <c r="C24" s="175"/>
      <c r="D24" s="153"/>
      <c r="E24" s="153"/>
      <c r="F24" s="153"/>
      <c r="G24" s="153"/>
      <c r="H24" s="153"/>
      <c r="I24" s="153"/>
      <c r="J24" s="153"/>
    </row>
    <row r="25" spans="1:22" x14ac:dyDescent="0.2">
      <c r="C25" s="175"/>
      <c r="D25" s="153"/>
      <c r="E25" s="153"/>
      <c r="F25" s="153"/>
      <c r="G25" s="153"/>
      <c r="H25" s="153"/>
      <c r="I25" s="153"/>
      <c r="J25" s="153"/>
    </row>
    <row r="26" spans="1:22" x14ac:dyDescent="0.2">
      <c r="C26" s="175"/>
      <c r="D26" s="153"/>
      <c r="E26" s="153"/>
      <c r="F26" s="153"/>
      <c r="G26" s="153"/>
      <c r="H26" s="153"/>
      <c r="I26" s="153"/>
      <c r="J26" s="153"/>
    </row>
    <row r="27" spans="1:22" x14ac:dyDescent="0.2">
      <c r="C27" s="176"/>
      <c r="D27" s="177"/>
      <c r="E27" s="153"/>
      <c r="F27" s="153"/>
      <c r="G27" s="153"/>
      <c r="H27" s="153"/>
      <c r="I27" s="153"/>
      <c r="J27" s="153"/>
    </row>
    <row r="29" spans="1:22" ht="15.75" x14ac:dyDescent="0.25">
      <c r="B29" s="131" t="s">
        <v>275</v>
      </c>
    </row>
    <row r="30" spans="1:22" ht="13.5" thickBot="1" x14ac:dyDescent="0.25"/>
    <row r="31" spans="1:22" ht="23.25" thickBot="1" x14ac:dyDescent="0.25">
      <c r="A31" s="141"/>
      <c r="B31" s="133" t="s">
        <v>241</v>
      </c>
      <c r="C31" s="134" t="s">
        <v>242</v>
      </c>
      <c r="D31" s="135" t="s">
        <v>243</v>
      </c>
      <c r="E31" s="136" t="s">
        <v>244</v>
      </c>
      <c r="F31" s="137" t="s">
        <v>245</v>
      </c>
      <c r="G31" s="138" t="s">
        <v>246</v>
      </c>
      <c r="H31" s="138" t="s">
        <v>247</v>
      </c>
      <c r="I31" s="139" t="s">
        <v>248</v>
      </c>
      <c r="J31" s="140" t="s">
        <v>249</v>
      </c>
      <c r="K31" s="138" t="s">
        <v>250</v>
      </c>
      <c r="L31" s="138" t="s">
        <v>251</v>
      </c>
      <c r="M31" s="138" t="s">
        <v>252</v>
      </c>
      <c r="N31" s="138"/>
      <c r="O31" s="138" t="s">
        <v>253</v>
      </c>
      <c r="P31" s="135" t="s">
        <v>254</v>
      </c>
    </row>
    <row r="32" spans="1:22" x14ac:dyDescent="0.2">
      <c r="B32" s="142">
        <v>1</v>
      </c>
      <c r="C32" s="132" t="s">
        <v>276</v>
      </c>
      <c r="D32" s="169"/>
      <c r="E32" s="145">
        <v>30</v>
      </c>
      <c r="F32" s="146"/>
      <c r="G32" s="147"/>
      <c r="H32" s="147"/>
      <c r="I32" s="148"/>
      <c r="J32" s="146"/>
      <c r="K32" s="147"/>
      <c r="L32" s="147"/>
      <c r="M32" s="147"/>
      <c r="N32" s="147"/>
      <c r="O32" s="147"/>
      <c r="P32" s="149"/>
    </row>
    <row r="33" spans="1:16" x14ac:dyDescent="0.2">
      <c r="B33" s="142">
        <v>2</v>
      </c>
      <c r="C33" s="170" t="s">
        <v>276</v>
      </c>
      <c r="D33" s="150"/>
      <c r="E33" s="151">
        <v>30</v>
      </c>
      <c r="F33" s="146"/>
      <c r="G33" s="152"/>
      <c r="H33" s="147"/>
      <c r="I33" s="148"/>
      <c r="J33" s="146"/>
      <c r="K33" s="147"/>
      <c r="L33" s="152"/>
      <c r="M33" s="152"/>
      <c r="N33" s="152"/>
      <c r="O33" s="152"/>
      <c r="P33" s="149"/>
    </row>
    <row r="34" spans="1:16" ht="13.5" thickBot="1" x14ac:dyDescent="0.25">
      <c r="B34" s="142">
        <v>6</v>
      </c>
      <c r="C34" s="153"/>
      <c r="D34" s="155"/>
      <c r="E34" s="151"/>
      <c r="F34" s="146"/>
      <c r="G34" s="152"/>
      <c r="H34" s="147"/>
      <c r="I34" s="148"/>
      <c r="J34" s="146"/>
      <c r="K34" s="147"/>
      <c r="L34" s="152"/>
      <c r="M34" s="152"/>
      <c r="N34" s="152"/>
      <c r="O34" s="152"/>
      <c r="P34" s="149"/>
    </row>
    <row r="35" spans="1:16" ht="13.5" thickBot="1" x14ac:dyDescent="0.25">
      <c r="A35" s="159"/>
      <c r="B35" s="156"/>
      <c r="C35" s="157" t="s">
        <v>255</v>
      </c>
      <c r="D35" s="158"/>
      <c r="E35" s="158"/>
      <c r="F35" s="158"/>
      <c r="G35" s="158"/>
      <c r="H35" s="158"/>
      <c r="I35" s="158"/>
      <c r="J35" s="158"/>
      <c r="K35" s="158"/>
      <c r="L35" s="158"/>
      <c r="M35" s="158"/>
      <c r="N35" s="158"/>
      <c r="O35" s="158"/>
      <c r="P35" s="158"/>
    </row>
    <row r="36" spans="1:16" ht="13.5" thickBot="1" x14ac:dyDescent="0.25">
      <c r="P36" s="160"/>
    </row>
    <row r="37" spans="1:16" ht="13.5" thickBot="1" x14ac:dyDescent="0.25">
      <c r="C37" s="171" t="s">
        <v>256</v>
      </c>
      <c r="D37" s="172"/>
      <c r="F37" s="171" t="s">
        <v>257</v>
      </c>
      <c r="G37" s="172"/>
      <c r="I37" s="171" t="s">
        <v>258</v>
      </c>
      <c r="J37" s="172"/>
    </row>
    <row r="38" spans="1:16" x14ac:dyDescent="0.2">
      <c r="C38" s="161" t="s">
        <v>245</v>
      </c>
      <c r="D38" s="148"/>
      <c r="F38" s="161" t="s">
        <v>249</v>
      </c>
      <c r="G38" s="148"/>
      <c r="I38" s="161" t="s">
        <v>259</v>
      </c>
      <c r="J38" s="148"/>
    </row>
    <row r="39" spans="1:16" x14ac:dyDescent="0.2">
      <c r="C39" s="162" t="s">
        <v>260</v>
      </c>
      <c r="D39" s="163"/>
      <c r="F39" s="162" t="s">
        <v>250</v>
      </c>
      <c r="G39" s="163"/>
      <c r="I39" s="162" t="s">
        <v>250</v>
      </c>
      <c r="J39" s="163"/>
    </row>
    <row r="40" spans="1:16" ht="13.5" thickBot="1" x14ac:dyDescent="0.25">
      <c r="C40" s="164" t="s">
        <v>261</v>
      </c>
      <c r="D40" s="165"/>
      <c r="F40" s="162" t="s">
        <v>262</v>
      </c>
      <c r="G40" s="163"/>
      <c r="I40" s="162" t="s">
        <v>249</v>
      </c>
      <c r="J40" s="163"/>
    </row>
    <row r="41" spans="1:16" ht="13.5" thickBot="1" x14ac:dyDescent="0.25">
      <c r="C41" s="166" t="s">
        <v>263</v>
      </c>
      <c r="D41" s="167"/>
      <c r="F41" s="162" t="s">
        <v>264</v>
      </c>
      <c r="G41" s="163"/>
      <c r="I41" s="162" t="s">
        <v>265</v>
      </c>
      <c r="J41" s="163"/>
    </row>
    <row r="42" spans="1:16" ht="13.5" thickBot="1" x14ac:dyDescent="0.25">
      <c r="F42" s="164" t="s">
        <v>266</v>
      </c>
      <c r="G42" s="165"/>
      <c r="I42" s="162" t="s">
        <v>267</v>
      </c>
      <c r="J42" s="163"/>
    </row>
    <row r="43" spans="1:16" ht="13.5" thickBot="1" x14ac:dyDescent="0.25">
      <c r="F43" s="166" t="s">
        <v>268</v>
      </c>
      <c r="G43" s="167">
        <v>945000</v>
      </c>
      <c r="I43" s="164" t="s">
        <v>269</v>
      </c>
      <c r="J43" s="165"/>
    </row>
    <row r="44" spans="1:16" ht="13.5" thickBot="1" x14ac:dyDescent="0.25">
      <c r="I44" s="166" t="s">
        <v>200</v>
      </c>
      <c r="J44" s="167"/>
    </row>
    <row r="45" spans="1:16" ht="13.5" thickBot="1" x14ac:dyDescent="0.25">
      <c r="C45" s="171" t="s">
        <v>270</v>
      </c>
      <c r="D45" s="172"/>
      <c r="E45" s="168"/>
    </row>
    <row r="46" spans="1:16" x14ac:dyDescent="0.2">
      <c r="C46" s="161" t="s">
        <v>271</v>
      </c>
      <c r="D46" s="148"/>
    </row>
    <row r="47" spans="1:16" x14ac:dyDescent="0.2">
      <c r="C47" s="162" t="s">
        <v>272</v>
      </c>
      <c r="D47" s="163"/>
    </row>
    <row r="48" spans="1:16" x14ac:dyDescent="0.2">
      <c r="C48" s="162" t="s">
        <v>273</v>
      </c>
      <c r="D48" s="163"/>
    </row>
    <row r="49" spans="1:16" ht="13.5" thickBot="1" x14ac:dyDescent="0.25">
      <c r="C49" s="164" t="s">
        <v>274</v>
      </c>
      <c r="D49" s="165"/>
    </row>
    <row r="50" spans="1:16" ht="13.5" thickBot="1" x14ac:dyDescent="0.25">
      <c r="C50" s="166" t="s">
        <v>268</v>
      </c>
      <c r="D50" s="167"/>
    </row>
    <row r="52" spans="1:16" ht="15.75" x14ac:dyDescent="0.25">
      <c r="B52" s="131" t="s">
        <v>277</v>
      </c>
    </row>
    <row r="53" spans="1:16" ht="13.5" thickBot="1" x14ac:dyDescent="0.25"/>
    <row r="54" spans="1:16" ht="23.25" thickBot="1" x14ac:dyDescent="0.25">
      <c r="A54" s="141"/>
      <c r="B54" s="133" t="s">
        <v>241</v>
      </c>
      <c r="C54" s="134" t="s">
        <v>242</v>
      </c>
      <c r="D54" s="135" t="s">
        <v>243</v>
      </c>
      <c r="E54" s="136" t="s">
        <v>244</v>
      </c>
      <c r="F54" s="137" t="s">
        <v>245</v>
      </c>
      <c r="G54" s="138" t="s">
        <v>246</v>
      </c>
      <c r="H54" s="138" t="s">
        <v>247</v>
      </c>
      <c r="I54" s="139" t="s">
        <v>248</v>
      </c>
      <c r="J54" s="140" t="s">
        <v>249</v>
      </c>
      <c r="K54" s="138" t="s">
        <v>250</v>
      </c>
      <c r="L54" s="138" t="s">
        <v>251</v>
      </c>
      <c r="M54" s="138" t="s">
        <v>252</v>
      </c>
      <c r="N54" s="138"/>
      <c r="O54" s="138" t="s">
        <v>253</v>
      </c>
      <c r="P54" s="135" t="s">
        <v>254</v>
      </c>
    </row>
    <row r="55" spans="1:16" x14ac:dyDescent="0.2">
      <c r="B55" s="142">
        <v>1</v>
      </c>
      <c r="C55" s="143"/>
      <c r="D55" s="173"/>
      <c r="E55" s="151">
        <v>30</v>
      </c>
      <c r="F55" s="146"/>
      <c r="G55" s="174"/>
      <c r="H55" s="147"/>
      <c r="I55" s="148"/>
      <c r="J55" s="146"/>
      <c r="K55" s="147"/>
      <c r="L55" s="147"/>
      <c r="M55" s="147"/>
      <c r="N55" s="147"/>
      <c r="O55" s="147"/>
      <c r="P55" s="149"/>
    </row>
    <row r="56" spans="1:16" x14ac:dyDescent="0.2">
      <c r="B56" s="142">
        <v>2</v>
      </c>
      <c r="D56" s="154"/>
      <c r="E56" s="151">
        <v>30</v>
      </c>
      <c r="F56" s="146"/>
      <c r="G56" s="174"/>
      <c r="H56" s="147"/>
      <c r="I56" s="148"/>
      <c r="J56" s="146"/>
      <c r="K56" s="147"/>
      <c r="L56" s="147"/>
      <c r="M56" s="147"/>
      <c r="N56" s="147"/>
      <c r="O56" s="147"/>
      <c r="P56" s="149"/>
    </row>
    <row r="57" spans="1:16" x14ac:dyDescent="0.2">
      <c r="B57" s="142">
        <v>3</v>
      </c>
      <c r="C57" s="143"/>
      <c r="D57" s="154"/>
      <c r="E57" s="151">
        <v>30</v>
      </c>
      <c r="F57" s="146"/>
      <c r="G57" s="174"/>
      <c r="H57" s="147"/>
      <c r="I57" s="148"/>
      <c r="J57" s="146"/>
      <c r="K57" s="147"/>
      <c r="L57" s="147"/>
      <c r="M57" s="147"/>
      <c r="N57" s="147"/>
      <c r="O57" s="147"/>
      <c r="P57" s="149"/>
    </row>
    <row r="58" spans="1:16" x14ac:dyDescent="0.2">
      <c r="B58" s="142">
        <v>4</v>
      </c>
      <c r="C58" s="143"/>
      <c r="D58" s="154"/>
      <c r="E58" s="151">
        <v>30</v>
      </c>
      <c r="F58" s="146"/>
      <c r="G58" s="174"/>
      <c r="H58" s="147"/>
      <c r="I58" s="148"/>
      <c r="J58" s="146"/>
      <c r="K58" s="147"/>
      <c r="L58" s="147"/>
      <c r="M58" s="147"/>
      <c r="N58" s="147"/>
      <c r="O58" s="147"/>
      <c r="P58" s="149"/>
    </row>
    <row r="59" spans="1:16" x14ac:dyDescent="0.2">
      <c r="B59" s="142">
        <v>5</v>
      </c>
      <c r="C59" s="143"/>
      <c r="D59" s="154"/>
      <c r="E59" s="151">
        <v>30</v>
      </c>
      <c r="F59" s="146"/>
      <c r="G59" s="174"/>
      <c r="H59" s="147"/>
      <c r="I59" s="148"/>
      <c r="J59" s="146"/>
      <c r="K59" s="147"/>
      <c r="L59" s="147"/>
      <c r="M59" s="147"/>
      <c r="N59" s="147"/>
      <c r="O59" s="147"/>
      <c r="P59" s="149"/>
    </row>
    <row r="60" spans="1:16" x14ac:dyDescent="0.2">
      <c r="B60" s="142">
        <v>6</v>
      </c>
      <c r="C60" s="143"/>
      <c r="D60" s="154"/>
      <c r="E60" s="151">
        <v>30</v>
      </c>
      <c r="F60" s="146"/>
      <c r="G60" s="174"/>
      <c r="H60" s="147"/>
      <c r="I60" s="148"/>
      <c r="J60" s="146"/>
      <c r="K60" s="147"/>
      <c r="L60" s="147"/>
      <c r="M60" s="147"/>
      <c r="N60" s="147"/>
      <c r="O60" s="147"/>
      <c r="P60" s="149"/>
    </row>
    <row r="61" spans="1:16" x14ac:dyDescent="0.2">
      <c r="B61" s="142">
        <v>7</v>
      </c>
      <c r="C61" s="143"/>
      <c r="D61" s="154"/>
      <c r="E61" s="151">
        <v>30</v>
      </c>
      <c r="F61" s="146"/>
      <c r="G61" s="174"/>
      <c r="H61" s="147"/>
      <c r="I61" s="148"/>
      <c r="J61" s="146"/>
      <c r="K61" s="147"/>
      <c r="L61" s="147"/>
      <c r="M61" s="147"/>
      <c r="N61" s="147"/>
      <c r="O61" s="147"/>
      <c r="P61" s="149"/>
    </row>
    <row r="62" spans="1:16" x14ac:dyDescent="0.2">
      <c r="B62" s="142">
        <v>8</v>
      </c>
      <c r="C62" s="143"/>
      <c r="D62" s="154"/>
      <c r="E62" s="151">
        <v>30</v>
      </c>
      <c r="F62" s="146"/>
      <c r="G62" s="174"/>
      <c r="H62" s="147"/>
      <c r="I62" s="148"/>
      <c r="J62" s="146"/>
      <c r="K62" s="147"/>
      <c r="L62" s="147"/>
      <c r="M62" s="147"/>
      <c r="N62" s="147"/>
      <c r="O62" s="147"/>
      <c r="P62" s="149"/>
    </row>
    <row r="63" spans="1:16" x14ac:dyDescent="0.2">
      <c r="B63" s="142">
        <v>9</v>
      </c>
      <c r="C63" s="143"/>
      <c r="D63" s="154"/>
      <c r="E63" s="151">
        <v>30</v>
      </c>
      <c r="F63" s="146"/>
      <c r="G63" s="174"/>
      <c r="H63" s="147"/>
      <c r="I63" s="148"/>
      <c r="J63" s="146"/>
      <c r="K63" s="147"/>
      <c r="L63" s="147"/>
      <c r="M63" s="147"/>
      <c r="N63" s="147"/>
      <c r="O63" s="147"/>
      <c r="P63" s="149"/>
    </row>
    <row r="64" spans="1:16" x14ac:dyDescent="0.2">
      <c r="B64" s="142">
        <v>10</v>
      </c>
      <c r="C64" s="143"/>
      <c r="D64" s="154"/>
      <c r="E64" s="151">
        <v>30</v>
      </c>
      <c r="F64" s="146"/>
      <c r="G64" s="174"/>
      <c r="H64" s="147"/>
      <c r="I64" s="148"/>
      <c r="J64" s="146"/>
      <c r="K64" s="147"/>
      <c r="L64" s="147"/>
      <c r="M64" s="147"/>
      <c r="N64" s="147"/>
      <c r="O64" s="147"/>
      <c r="P64" s="149"/>
    </row>
    <row r="65" spans="1:16" x14ac:dyDescent="0.2">
      <c r="B65" s="142">
        <v>11</v>
      </c>
      <c r="C65" s="143"/>
      <c r="D65" s="154"/>
      <c r="E65" s="151">
        <v>30</v>
      </c>
      <c r="F65" s="146"/>
      <c r="G65" s="174"/>
      <c r="H65" s="147"/>
      <c r="I65" s="148"/>
      <c r="J65" s="146"/>
      <c r="K65" s="147"/>
      <c r="L65" s="147"/>
      <c r="M65" s="147"/>
      <c r="N65" s="147"/>
      <c r="O65" s="147"/>
      <c r="P65" s="149"/>
    </row>
    <row r="66" spans="1:16" x14ac:dyDescent="0.2">
      <c r="B66" s="142">
        <v>12</v>
      </c>
      <c r="C66" s="143"/>
      <c r="D66" s="154"/>
      <c r="E66" s="151">
        <v>30</v>
      </c>
      <c r="F66" s="146"/>
      <c r="G66" s="174"/>
      <c r="H66" s="147"/>
      <c r="I66" s="148"/>
      <c r="J66" s="146"/>
      <c r="K66" s="147"/>
      <c r="L66" s="147"/>
      <c r="M66" s="147"/>
      <c r="N66" s="147"/>
      <c r="O66" s="147"/>
      <c r="P66" s="149"/>
    </row>
    <row r="67" spans="1:16" x14ac:dyDescent="0.2">
      <c r="B67" s="142">
        <v>13</v>
      </c>
      <c r="C67" s="143"/>
      <c r="D67" s="154"/>
      <c r="E67" s="151">
        <v>30</v>
      </c>
      <c r="F67" s="146"/>
      <c r="G67" s="174"/>
      <c r="H67" s="147"/>
      <c r="I67" s="148"/>
      <c r="J67" s="146"/>
      <c r="K67" s="147"/>
      <c r="L67" s="147"/>
      <c r="M67" s="147"/>
      <c r="N67" s="147"/>
      <c r="O67" s="147"/>
      <c r="P67" s="149"/>
    </row>
    <row r="68" spans="1:16" x14ac:dyDescent="0.2">
      <c r="B68" s="142">
        <v>14</v>
      </c>
      <c r="C68" s="143"/>
      <c r="D68" s="154"/>
      <c r="E68" s="151">
        <v>30</v>
      </c>
      <c r="F68" s="146"/>
      <c r="G68" s="174"/>
      <c r="H68" s="147"/>
      <c r="I68" s="148"/>
      <c r="J68" s="146"/>
      <c r="K68" s="147"/>
      <c r="L68" s="147"/>
      <c r="M68" s="147"/>
      <c r="N68" s="147"/>
      <c r="O68" s="147"/>
      <c r="P68" s="149"/>
    </row>
    <row r="69" spans="1:16" x14ac:dyDescent="0.2">
      <c r="B69" s="142">
        <v>15</v>
      </c>
      <c r="C69" s="143"/>
      <c r="D69" s="154"/>
      <c r="E69" s="151">
        <v>30</v>
      </c>
      <c r="F69" s="146"/>
      <c r="G69" s="174"/>
      <c r="H69" s="147"/>
      <c r="I69" s="148"/>
      <c r="J69" s="146"/>
      <c r="K69" s="147"/>
      <c r="L69" s="147"/>
      <c r="M69" s="147"/>
      <c r="N69" s="147"/>
      <c r="O69" s="147"/>
      <c r="P69" s="149"/>
    </row>
    <row r="70" spans="1:16" x14ac:dyDescent="0.2">
      <c r="B70" s="142">
        <v>16</v>
      </c>
      <c r="C70" s="143"/>
      <c r="D70" s="150"/>
      <c r="E70" s="151">
        <v>30</v>
      </c>
      <c r="F70" s="146"/>
      <c r="G70" s="174"/>
      <c r="H70" s="147"/>
      <c r="I70" s="148"/>
      <c r="J70" s="146"/>
      <c r="K70" s="147"/>
      <c r="L70" s="147"/>
      <c r="M70" s="147"/>
      <c r="N70" s="147"/>
      <c r="O70" s="147"/>
      <c r="P70" s="149"/>
    </row>
    <row r="71" spans="1:16" ht="13.5" thickBot="1" x14ac:dyDescent="0.25">
      <c r="B71" s="142">
        <v>17</v>
      </c>
      <c r="C71" s="153"/>
      <c r="D71" s="155"/>
      <c r="E71" s="151"/>
      <c r="F71" s="146"/>
      <c r="G71" s="174"/>
      <c r="H71" s="147"/>
      <c r="I71" s="148"/>
      <c r="J71" s="146"/>
      <c r="K71" s="147"/>
      <c r="L71" s="152"/>
      <c r="M71" s="152"/>
      <c r="N71" s="152"/>
      <c r="O71" s="152"/>
      <c r="P71" s="149"/>
    </row>
    <row r="72" spans="1:16" ht="13.5" thickBot="1" x14ac:dyDescent="0.25">
      <c r="A72" s="159"/>
      <c r="B72" s="156"/>
      <c r="C72" s="157" t="s">
        <v>255</v>
      </c>
      <c r="D72" s="158"/>
      <c r="E72" s="158"/>
      <c r="F72" s="158"/>
      <c r="G72" s="158"/>
      <c r="H72" s="158"/>
      <c r="I72" s="158"/>
      <c r="J72" s="158"/>
      <c r="K72" s="158"/>
      <c r="L72" s="158"/>
      <c r="M72" s="158"/>
      <c r="N72" s="158"/>
      <c r="O72" s="158"/>
      <c r="P72" s="158"/>
    </row>
    <row r="73" spans="1:16" ht="13.5" thickBot="1" x14ac:dyDescent="0.25">
      <c r="P73" s="160"/>
    </row>
    <row r="74" spans="1:16" ht="13.5" thickBot="1" x14ac:dyDescent="0.25">
      <c r="C74" s="171" t="s">
        <v>256</v>
      </c>
      <c r="D74" s="172"/>
      <c r="F74" s="171" t="s">
        <v>257</v>
      </c>
      <c r="G74" s="172"/>
      <c r="I74" s="171" t="s">
        <v>258</v>
      </c>
      <c r="J74" s="172"/>
    </row>
    <row r="75" spans="1:16" x14ac:dyDescent="0.2">
      <c r="C75" s="161" t="s">
        <v>245</v>
      </c>
      <c r="D75" s="148"/>
      <c r="F75" s="161" t="s">
        <v>249</v>
      </c>
      <c r="G75" s="148"/>
      <c r="I75" s="161" t="s">
        <v>259</v>
      </c>
      <c r="J75" s="148"/>
    </row>
    <row r="76" spans="1:16" x14ac:dyDescent="0.2">
      <c r="C76" s="162" t="s">
        <v>260</v>
      </c>
      <c r="D76" s="163"/>
      <c r="F76" s="162" t="s">
        <v>250</v>
      </c>
      <c r="G76" s="163"/>
      <c r="I76" s="162" t="s">
        <v>250</v>
      </c>
      <c r="J76" s="163"/>
    </row>
    <row r="77" spans="1:16" ht="13.5" thickBot="1" x14ac:dyDescent="0.25">
      <c r="C77" s="164" t="s">
        <v>261</v>
      </c>
      <c r="D77" s="165"/>
      <c r="F77" s="162" t="s">
        <v>262</v>
      </c>
      <c r="G77" s="163"/>
      <c r="I77" s="162" t="s">
        <v>249</v>
      </c>
      <c r="J77" s="163"/>
    </row>
    <row r="78" spans="1:16" ht="13.5" thickBot="1" x14ac:dyDescent="0.25">
      <c r="C78" s="166" t="s">
        <v>263</v>
      </c>
      <c r="D78" s="167"/>
      <c r="F78" s="162" t="s">
        <v>264</v>
      </c>
      <c r="G78" s="163"/>
      <c r="I78" s="162" t="s">
        <v>265</v>
      </c>
      <c r="J78" s="163"/>
    </row>
    <row r="79" spans="1:16" ht="13.5" thickBot="1" x14ac:dyDescent="0.25">
      <c r="F79" s="164" t="s">
        <v>266</v>
      </c>
      <c r="G79" s="165"/>
      <c r="I79" s="162" t="s">
        <v>267</v>
      </c>
      <c r="J79" s="163"/>
    </row>
    <row r="80" spans="1:16" ht="13.5" thickBot="1" x14ac:dyDescent="0.25">
      <c r="F80" s="166" t="s">
        <v>268</v>
      </c>
      <c r="G80" s="167"/>
      <c r="I80" s="164" t="s">
        <v>269</v>
      </c>
      <c r="J80" s="165"/>
    </row>
    <row r="81" spans="3:10" ht="13.5" thickBot="1" x14ac:dyDescent="0.25">
      <c r="I81" s="166" t="s">
        <v>200</v>
      </c>
      <c r="J81" s="167"/>
    </row>
    <row r="82" spans="3:10" ht="13.5" thickBot="1" x14ac:dyDescent="0.25">
      <c r="C82" s="171" t="s">
        <v>270</v>
      </c>
      <c r="D82" s="172"/>
      <c r="E82" s="168"/>
    </row>
    <row r="83" spans="3:10" x14ac:dyDescent="0.2">
      <c r="C83" s="161" t="s">
        <v>271</v>
      </c>
      <c r="D83" s="148"/>
    </row>
    <row r="84" spans="3:10" x14ac:dyDescent="0.2">
      <c r="C84" s="162" t="s">
        <v>272</v>
      </c>
      <c r="D84" s="163"/>
    </row>
    <row r="85" spans="3:10" x14ac:dyDescent="0.2">
      <c r="C85" s="162" t="s">
        <v>273</v>
      </c>
      <c r="D85" s="163"/>
    </row>
    <row r="86" spans="3:10" ht="13.5" thickBot="1" x14ac:dyDescent="0.25">
      <c r="C86" s="164" t="s">
        <v>274</v>
      </c>
      <c r="D86" s="165"/>
    </row>
    <row r="87" spans="3:10" ht="13.5" thickBot="1" x14ac:dyDescent="0.25">
      <c r="C87" s="166" t="s">
        <v>268</v>
      </c>
      <c r="D87" s="167"/>
    </row>
  </sheetData>
  <mergeCells count="6">
    <mergeCell ref="U22:V22"/>
    <mergeCell ref="C14:D14"/>
    <mergeCell ref="F14:G14"/>
    <mergeCell ref="I14:J14"/>
    <mergeCell ref="C22:D22"/>
    <mergeCell ref="S22:T22"/>
  </mergeCells>
  <pageMargins left="0.75" right="0.75" top="1" bottom="1" header="0" footer="0"/>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9</vt:i4>
      </vt:variant>
    </vt:vector>
  </HeadingPairs>
  <TitlesOfParts>
    <vt:vector size="16" baseType="lpstr">
      <vt:lpstr>Modelo</vt:lpstr>
      <vt:lpstr>Listas</vt:lpstr>
      <vt:lpstr>Tabla de Amortización</vt:lpstr>
      <vt:lpstr>Hoja1</vt:lpstr>
      <vt:lpstr>PREOPERATIVOS</vt:lpstr>
      <vt:lpstr>Hoja2</vt:lpstr>
      <vt:lpstr>NOMINA</vt:lpstr>
      <vt:lpstr>amortizacion</vt:lpstr>
      <vt:lpstr>lista_per_amortizacion</vt:lpstr>
      <vt:lpstr>Lista_periodos</vt:lpstr>
      <vt:lpstr>lista_plazo</vt:lpstr>
      <vt:lpstr>Lista_tasa_descuento</vt:lpstr>
      <vt:lpstr>lista_tipo_amortizacion</vt:lpstr>
      <vt:lpstr>MATRIZ_LISTA_AMORTIZACION</vt:lpstr>
      <vt:lpstr>matriz_per_amortizacion</vt:lpstr>
      <vt:lpstr>MATRIZ_TASA_DESCUENTO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Jeronimo Gonzalez Ospina</dc:creator>
  <cp:lastModifiedBy>User</cp:lastModifiedBy>
  <dcterms:created xsi:type="dcterms:W3CDTF">2013-07-27T16:10:31Z</dcterms:created>
  <dcterms:modified xsi:type="dcterms:W3CDTF">2014-08-26T23:45:31Z</dcterms:modified>
</cp:coreProperties>
</file>