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45" windowWidth="18195" windowHeight="7590" activeTab="4"/>
  </bookViews>
  <sheets>
    <sheet name="CF Y CV ANO" sheetId="1" r:id="rId1"/>
    <sheet name="INGRESOS " sheetId="2" r:id="rId2"/>
    <sheet name="COSTOS " sheetId="3" r:id="rId3"/>
    <sheet name="FLUJO DE FONDOS PROTOTIPO " sheetId="4" r:id="rId4"/>
    <sheet name="Valor de la Firma" sheetId="6" r:id="rId5"/>
  </sheets>
  <calcPr calcId="145621"/>
</workbook>
</file>

<file path=xl/calcChain.xml><?xml version="1.0" encoding="utf-8"?>
<calcChain xmlns="http://schemas.openxmlformats.org/spreadsheetml/2006/main">
  <c r="D16" i="3" l="1"/>
  <c r="H15" i="6" l="1"/>
  <c r="I15" i="6" s="1"/>
  <c r="D49" i="6" l="1"/>
  <c r="E49" i="6"/>
  <c r="F49" i="6"/>
  <c r="G49" i="6"/>
  <c r="H49" i="6"/>
  <c r="C49" i="6"/>
  <c r="D38" i="4" l="1"/>
  <c r="E38" i="4"/>
  <c r="F38" i="4"/>
  <c r="G38" i="4"/>
  <c r="C38" i="4"/>
  <c r="B14" i="2"/>
  <c r="D14" i="2" s="1"/>
  <c r="C13" i="4"/>
  <c r="D20" i="3"/>
  <c r="C14" i="4" s="1"/>
  <c r="D13" i="3"/>
  <c r="D14" i="3"/>
  <c r="D15" i="3"/>
  <c r="D12" i="3"/>
  <c r="D9" i="3"/>
  <c r="D8" i="3"/>
  <c r="E15" i="2"/>
  <c r="D15" i="2"/>
  <c r="D13" i="2"/>
  <c r="D12" i="2"/>
  <c r="D11" i="2"/>
  <c r="D10" i="2"/>
  <c r="D9" i="2"/>
  <c r="D8" i="2"/>
  <c r="D7" i="2"/>
  <c r="D6" i="2"/>
  <c r="D5" i="2"/>
  <c r="D12" i="1"/>
  <c r="D13" i="1"/>
  <c r="D14" i="1"/>
  <c r="D15" i="1"/>
  <c r="D16" i="1"/>
  <c r="D17" i="1"/>
  <c r="D18" i="1"/>
  <c r="D19" i="1"/>
  <c r="D20" i="1"/>
  <c r="D21" i="1"/>
  <c r="D11" i="1"/>
  <c r="D17" i="3" l="1"/>
  <c r="B30" i="4" s="1"/>
  <c r="D13" i="4"/>
  <c r="C14" i="6"/>
  <c r="D14" i="4"/>
  <c r="C17" i="6"/>
  <c r="D16" i="2"/>
  <c r="C8" i="4" s="1"/>
  <c r="D8" i="4" s="1"/>
  <c r="E8" i="4" s="1"/>
  <c r="F8" i="4" s="1"/>
  <c r="G8" i="4" s="1"/>
  <c r="D22" i="1"/>
  <c r="D23" i="3"/>
  <c r="C18" i="6" l="1"/>
  <c r="B34" i="4"/>
  <c r="B39" i="4" s="1"/>
  <c r="D8" i="6"/>
  <c r="C8" i="6"/>
  <c r="E14" i="4"/>
  <c r="D17" i="6"/>
  <c r="C21" i="6"/>
  <c r="C22" i="6" s="1"/>
  <c r="E13" i="4"/>
  <c r="D14" i="6"/>
  <c r="D18" i="6" l="1"/>
  <c r="C30" i="6"/>
  <c r="E8" i="6"/>
  <c r="F8" i="6"/>
  <c r="G8" i="6" s="1"/>
  <c r="H8" i="6" s="1"/>
  <c r="I8" i="6" s="1"/>
  <c r="D21" i="6"/>
  <c r="D22" i="6" s="1"/>
  <c r="F13" i="4"/>
  <c r="E14" i="6"/>
  <c r="F14" i="4"/>
  <c r="E17" i="6"/>
  <c r="B6" i="1"/>
  <c r="B5" i="1"/>
  <c r="B7" i="1" l="1"/>
  <c r="B8" i="1" s="1"/>
  <c r="B24" i="1" s="1"/>
  <c r="C9" i="4" s="1"/>
  <c r="D9" i="4" s="1"/>
  <c r="E9" i="4" s="1"/>
  <c r="F9" i="4" s="1"/>
  <c r="G9" i="4" s="1"/>
  <c r="E18" i="6"/>
  <c r="D30" i="6"/>
  <c r="G14" i="4"/>
  <c r="G17" i="6" s="1"/>
  <c r="H17" i="6" s="1"/>
  <c r="I17" i="6" s="1"/>
  <c r="F17" i="6"/>
  <c r="E21" i="6"/>
  <c r="E22" i="6" s="1"/>
  <c r="G13" i="4"/>
  <c r="G14" i="6" s="1"/>
  <c r="F14" i="6"/>
  <c r="D17" i="2"/>
  <c r="D18" i="2" s="1"/>
  <c r="F18" i="6" l="1"/>
  <c r="E30" i="6"/>
  <c r="D9" i="6"/>
  <c r="D10" i="6" s="1"/>
  <c r="D23" i="6" s="1"/>
  <c r="C9" i="6"/>
  <c r="C10" i="6" s="1"/>
  <c r="C23" i="6" s="1"/>
  <c r="F21" i="6"/>
  <c r="F22" i="6" s="1"/>
  <c r="H14" i="6"/>
  <c r="D34" i="4"/>
  <c r="D39" i="4" s="1"/>
  <c r="C34" i="4"/>
  <c r="C39" i="4" s="1"/>
  <c r="G18" i="6" l="1"/>
  <c r="F30" i="6"/>
  <c r="D24" i="6"/>
  <c r="D25" i="6" s="1"/>
  <c r="D29" i="6"/>
  <c r="D33" i="6" s="1"/>
  <c r="D35" i="6" s="1"/>
  <c r="C24" i="6"/>
  <c r="C25" i="6" s="1"/>
  <c r="C29" i="6"/>
  <c r="C33" i="6" s="1"/>
  <c r="C35" i="6" s="1"/>
  <c r="E9" i="6"/>
  <c r="E10" i="6" s="1"/>
  <c r="E23" i="6" s="1"/>
  <c r="I14" i="6"/>
  <c r="H18" i="6" l="1"/>
  <c r="G30" i="6"/>
  <c r="G21" i="6"/>
  <c r="G22" i="6" s="1"/>
  <c r="E34" i="4"/>
  <c r="E39" i="4" s="1"/>
  <c r="E24" i="6"/>
  <c r="E25" i="6" s="1"/>
  <c r="E29" i="6"/>
  <c r="E33" i="6" s="1"/>
  <c r="E35" i="6" s="1"/>
  <c r="F9" i="6"/>
  <c r="F10" i="6" s="1"/>
  <c r="F23" i="6" s="1"/>
  <c r="F34" i="4"/>
  <c r="F39" i="4" s="1"/>
  <c r="I18" i="6" l="1"/>
  <c r="H30" i="6"/>
  <c r="H21" i="6"/>
  <c r="H22" i="6" s="1"/>
  <c r="F29" i="6"/>
  <c r="F33" i="6" s="1"/>
  <c r="F35" i="6" s="1"/>
  <c r="F24" i="6"/>
  <c r="F25" i="6" s="1"/>
  <c r="I30" i="6" l="1"/>
  <c r="I21" i="6"/>
  <c r="I22" i="6" s="1"/>
  <c r="G34" i="4"/>
  <c r="G39" i="4" s="1"/>
  <c r="G9" i="6"/>
  <c r="H9" i="6" s="1"/>
  <c r="I9" i="6" s="1"/>
  <c r="G10" i="6" l="1"/>
  <c r="G23" i="6" s="1"/>
  <c r="I10" i="6" l="1"/>
  <c r="I23" i="6" s="1"/>
  <c r="H10" i="6"/>
  <c r="H23" i="6" s="1"/>
  <c r="G29" i="6"/>
  <c r="G33" i="6" s="1"/>
  <c r="G35" i="6" s="1"/>
  <c r="G24" i="6"/>
  <c r="G25" i="6" s="1"/>
  <c r="I24" i="6" l="1"/>
  <c r="I25" i="6" s="1"/>
  <c r="I29" i="6"/>
  <c r="I33" i="6" s="1"/>
  <c r="I36" i="6" s="1"/>
  <c r="C38" i="6" s="1"/>
  <c r="H24" i="6"/>
  <c r="H25" i="6" s="1"/>
  <c r="H29" i="6"/>
  <c r="H33" i="6" s="1"/>
  <c r="H35" i="6" s="1"/>
  <c r="C37" i="6" s="1"/>
  <c r="C39" i="6" l="1"/>
</calcChain>
</file>

<file path=xl/sharedStrings.xml><?xml version="1.0" encoding="utf-8"?>
<sst xmlns="http://schemas.openxmlformats.org/spreadsheetml/2006/main" count="123" uniqueCount="106">
  <si>
    <t>Costos  Fijos</t>
  </si>
  <si>
    <t xml:space="preserve">Carga Prestacional </t>
  </si>
  <si>
    <t xml:space="preserve">Dotacion </t>
  </si>
  <si>
    <t>SMLV</t>
  </si>
  <si>
    <t>Cantidad Operadores</t>
  </si>
  <si>
    <t xml:space="preserve">semestral </t>
  </si>
  <si>
    <t xml:space="preserve">ACTIVIDAD </t>
  </si>
  <si>
    <t>CANTIDA ANO</t>
  </si>
  <si>
    <t>DESINTERCALE DOBLE PARALELO</t>
  </si>
  <si>
    <t xml:space="preserve">EMBOLSADO </t>
  </si>
  <si>
    <t>SELLADO</t>
  </si>
  <si>
    <t>ALCE X 3</t>
  </si>
  <si>
    <t>PEEGUE CINTA</t>
  </si>
  <si>
    <t>EMBUCHE</t>
  </si>
  <si>
    <t>REPLEGAR</t>
  </si>
  <si>
    <t>PEGUE STIKER</t>
  </si>
  <si>
    <t>INTERCALE</t>
  </si>
  <si>
    <t>CAJA ALISTADA (EMPAQUE Y SELLADO DE CAJA)</t>
  </si>
  <si>
    <t xml:space="preserve">ESTIBADO </t>
  </si>
  <si>
    <t xml:space="preserve">COSTO UNITARIO </t>
  </si>
  <si>
    <t xml:space="preserve">TOTAL COSTO FIJO MES </t>
  </si>
  <si>
    <t>TOTAL COSTO FIJO ANO</t>
  </si>
  <si>
    <t>COSTO TOTAL VERIABLE ANO</t>
  </si>
  <si>
    <t xml:space="preserve">COSTOS DE PRODUCCION </t>
  </si>
  <si>
    <t xml:space="preserve">EQUIPO </t>
  </si>
  <si>
    <t>CANTIDAD</t>
  </si>
  <si>
    <t xml:space="preserve">PREC UNI </t>
  </si>
  <si>
    <t>SELLADORA</t>
  </si>
  <si>
    <t>BASCULA</t>
  </si>
  <si>
    <t>HERRAMIENTA</t>
  </si>
  <si>
    <t>DESTORNILLADORES</t>
  </si>
  <si>
    <t xml:space="preserve">BISTURI </t>
  </si>
  <si>
    <t xml:space="preserve">RECIPIENTES </t>
  </si>
  <si>
    <t>PUNZONES</t>
  </si>
  <si>
    <t>COSTOS DE VENTAS</t>
  </si>
  <si>
    <t>EJECUTIVA DE VENTAS</t>
  </si>
  <si>
    <t xml:space="preserve">TOTAL COSTOS DE PRODUCCION </t>
  </si>
  <si>
    <t xml:space="preserve">ADMINISTRATIVOS </t>
  </si>
  <si>
    <t>TOTAL COSTOS DE VENTAS Y ADM</t>
  </si>
  <si>
    <t>Conceptos</t>
  </si>
  <si>
    <t xml:space="preserve">Ingresos </t>
  </si>
  <si>
    <t xml:space="preserve">INGRESOS </t>
  </si>
  <si>
    <t>Costos de Produccion</t>
  </si>
  <si>
    <t>UTILIDAD MARGINAL</t>
  </si>
  <si>
    <t xml:space="preserve">COSTOS ADMON </t>
  </si>
  <si>
    <t>COSTOS FINANCIEROS DEUDAS</t>
  </si>
  <si>
    <t xml:space="preserve">DEPRECIACIONES </t>
  </si>
  <si>
    <t>AMORTIZACIONES</t>
  </si>
  <si>
    <t>UTILIDAD BRUTA ANTES DE IMPUESTOS</t>
  </si>
  <si>
    <t xml:space="preserve">IMPUESTOS </t>
  </si>
  <si>
    <t>UTILIDAD NETA</t>
  </si>
  <si>
    <t>DEPRECIACIONES</t>
  </si>
  <si>
    <t>PAGO DE LA DEUDA A CAPITAL</t>
  </si>
  <si>
    <t>INVERSION INICIAL</t>
  </si>
  <si>
    <t xml:space="preserve">CAPITAL DE TRABAJO </t>
  </si>
  <si>
    <t>VALOR DE  SALVAMENTO</t>
  </si>
  <si>
    <t>FLUJOS NETOS EFECTIVOS</t>
  </si>
  <si>
    <t>Tasa de descuento</t>
  </si>
  <si>
    <t>Factor de Descuento</t>
  </si>
  <si>
    <t>VH</t>
  </si>
  <si>
    <t>EBIT</t>
  </si>
  <si>
    <t>Venta Brutas</t>
  </si>
  <si>
    <t>Utilidad Bruta en Ventas</t>
  </si>
  <si>
    <t>Gastos Operativos</t>
  </si>
  <si>
    <t>Ventas y Mercadeo</t>
  </si>
  <si>
    <t>Salarios</t>
  </si>
  <si>
    <t>Posicionamiento de Marca</t>
  </si>
  <si>
    <t>Generales y Administrativos</t>
  </si>
  <si>
    <t>Depreciación</t>
  </si>
  <si>
    <t>Gastos Legales</t>
  </si>
  <si>
    <t>Otros</t>
  </si>
  <si>
    <t>A&amp;F Soluciones de Alistamiento e Impresión SAS, PYG</t>
  </si>
  <si>
    <t>(-) Capex</t>
  </si>
  <si>
    <t>Flujo Libre de Caja</t>
  </si>
  <si>
    <t>Valor Presente del Flujo de Caja</t>
  </si>
  <si>
    <t>Valor de A&amp;F Soluciones</t>
  </si>
  <si>
    <t>Valor de los flujos de Largo Plazo</t>
  </si>
  <si>
    <t>Costo del Capital (Corto Plazo)</t>
  </si>
  <si>
    <t>Crecimiento de Largo Plazo</t>
  </si>
  <si>
    <t>A&amp;F Soluciones de Alistamiento e Impresión SAS, Factores de Descuento</t>
  </si>
  <si>
    <t>Valor del Flujo de Caja</t>
  </si>
  <si>
    <t>Valor LP</t>
  </si>
  <si>
    <t>Impuestos</t>
  </si>
  <si>
    <t>Utilidad Neta</t>
  </si>
  <si>
    <t>A&amp;F Soluciones de Alistamiento e Impresión SAS, Valoración</t>
  </si>
  <si>
    <t>(+) Depreciación</t>
  </si>
  <si>
    <t>(-) Variación del capital de trabajo</t>
  </si>
  <si>
    <t>Supuestos</t>
  </si>
  <si>
    <t>Tasa impositiva</t>
  </si>
  <si>
    <t>Total Gastos Operacionales</t>
  </si>
  <si>
    <t>Costo de Capital (Largo Plazo)</t>
  </si>
  <si>
    <t>Año</t>
  </si>
  <si>
    <t>(Cifras en millones)</t>
  </si>
  <si>
    <t>Lectores de Codigos de Barras</t>
  </si>
  <si>
    <t>Costo de produccion</t>
  </si>
  <si>
    <t>poliza</t>
  </si>
  <si>
    <t>ESTIMADO</t>
  </si>
  <si>
    <t xml:space="preserve">Costo Total Año </t>
  </si>
  <si>
    <t>TOTAL AÑO</t>
  </si>
  <si>
    <t>PRECIO DE V. UNI</t>
  </si>
  <si>
    <t>CANTIDA AÑO</t>
  </si>
  <si>
    <t>5.1 COSTOS FIJOS Y VARIABLE AL AÑO</t>
  </si>
  <si>
    <t>5.2 INGRESOS</t>
  </si>
  <si>
    <t>5.3 COSTOS</t>
  </si>
  <si>
    <t>5.4 FLUJO FONDOS PROTOTIPO</t>
  </si>
  <si>
    <t>5.5 VALOR DE LA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</si>
</sst>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0.0%"/>
    <numFmt numFmtId="166" formatCode="&quot;$&quot;#,##0"/>
    <numFmt numFmtId="167" formatCode="0.0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2" applyFont="1"/>
    <xf numFmtId="44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0" borderId="0" xfId="0" applyFont="1"/>
    <xf numFmtId="44" fontId="2" fillId="0" borderId="0" xfId="0" applyNumberFormat="1" applyFo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2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3" fillId="2" borderId="2" xfId="0" applyFont="1" applyFill="1" applyBorder="1"/>
    <xf numFmtId="166" fontId="4" fillId="0" borderId="0" xfId="0" applyNumberFormat="1" applyFont="1" applyFill="1" applyBorder="1"/>
    <xf numFmtId="166" fontId="4" fillId="0" borderId="1" xfId="0" applyNumberFormat="1" applyFont="1" applyFill="1" applyBorder="1"/>
    <xf numFmtId="166" fontId="4" fillId="2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166" fontId="4" fillId="0" borderId="3" xfId="0" applyNumberFormat="1" applyFont="1" applyFill="1" applyBorder="1"/>
    <xf numFmtId="166" fontId="4" fillId="2" borderId="1" xfId="0" applyNumberFormat="1" applyFont="1" applyFill="1" applyBorder="1"/>
    <xf numFmtId="0" fontId="4" fillId="2" borderId="0" xfId="0" applyFont="1" applyFill="1" applyBorder="1"/>
    <xf numFmtId="166" fontId="4" fillId="2" borderId="2" xfId="0" applyNumberFormat="1" applyFont="1" applyFill="1" applyBorder="1"/>
    <xf numFmtId="167" fontId="4" fillId="0" borderId="0" xfId="0" applyNumberFormat="1" applyFont="1" applyFill="1" applyBorder="1"/>
    <xf numFmtId="0" fontId="4" fillId="0" borderId="4" xfId="0" applyFont="1" applyFill="1" applyBorder="1"/>
    <xf numFmtId="166" fontId="4" fillId="2" borderId="4" xfId="0" applyNumberFormat="1" applyFont="1" applyFill="1" applyBorder="1"/>
    <xf numFmtId="165" fontId="6" fillId="2" borderId="0" xfId="3" applyNumberFormat="1" applyFont="1" applyFill="1" applyBorder="1"/>
    <xf numFmtId="2" fontId="4" fillId="0" borderId="0" xfId="0" applyNumberFormat="1" applyFont="1" applyFill="1" applyBorder="1"/>
    <xf numFmtId="167" fontId="7" fillId="0" borderId="2" xfId="0" applyNumberFormat="1" applyFont="1" applyFill="1" applyBorder="1" applyAlignment="1">
      <alignment horizontal="right"/>
    </xf>
    <xf numFmtId="166" fontId="4" fillId="3" borderId="0" xfId="0" applyNumberFormat="1" applyFont="1" applyFill="1" applyBorder="1"/>
    <xf numFmtId="166" fontId="4" fillId="3" borderId="1" xfId="0" applyNumberFormat="1" applyFont="1" applyFill="1" applyBorder="1"/>
    <xf numFmtId="166" fontId="4" fillId="4" borderId="0" xfId="0" applyNumberFormat="1" applyFont="1" applyFill="1" applyBorder="1"/>
    <xf numFmtId="166" fontId="4" fillId="4" borderId="1" xfId="0" applyNumberFormat="1" applyFont="1" applyFill="1" applyBorder="1"/>
    <xf numFmtId="166" fontId="4" fillId="3" borderId="2" xfId="0" applyNumberFormat="1" applyFont="1" applyFill="1" applyBorder="1"/>
    <xf numFmtId="0" fontId="6" fillId="2" borderId="0" xfId="0" applyFont="1" applyFill="1" applyBorder="1"/>
    <xf numFmtId="9" fontId="0" fillId="3" borderId="0" xfId="0" applyNumberFormat="1" applyFill="1"/>
    <xf numFmtId="165" fontId="4" fillId="3" borderId="0" xfId="3" applyNumberFormat="1" applyFont="1" applyFill="1" applyBorder="1"/>
    <xf numFmtId="165" fontId="4" fillId="3" borderId="4" xfId="3" applyNumberFormat="1" applyFont="1" applyFill="1" applyBorder="1"/>
    <xf numFmtId="0" fontId="5" fillId="0" borderId="0" xfId="0" applyFont="1" applyFill="1" applyBorder="1"/>
    <xf numFmtId="0" fontId="0" fillId="0" borderId="5" xfId="0" applyBorder="1"/>
    <xf numFmtId="43" fontId="0" fillId="0" borderId="5" xfId="0" applyNumberFormat="1" applyBorder="1"/>
    <xf numFmtId="168" fontId="0" fillId="0" borderId="5" xfId="0" applyNumberFormat="1" applyBorder="1"/>
    <xf numFmtId="0" fontId="2" fillId="0" borderId="5" xfId="0" applyFont="1" applyBorder="1"/>
    <xf numFmtId="43" fontId="0" fillId="0" borderId="5" xfId="1" applyFont="1" applyBorder="1"/>
    <xf numFmtId="168" fontId="0" fillId="0" borderId="5" xfId="1" applyNumberFormat="1" applyFont="1" applyBorder="1"/>
    <xf numFmtId="44" fontId="0" fillId="0" borderId="5" xfId="2" applyFont="1" applyBorder="1"/>
    <xf numFmtId="44" fontId="2" fillId="0" borderId="5" xfId="2" applyFont="1" applyBorder="1"/>
    <xf numFmtId="44" fontId="0" fillId="0" borderId="5" xfId="0" applyNumberForma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43.140625" bestFit="1" customWidth="1"/>
    <col min="2" max="3" width="16.7109375" bestFit="1" customWidth="1"/>
    <col min="4" max="4" width="26.7109375" bestFit="1" customWidth="1"/>
    <col min="6" max="6" width="14.140625" bestFit="1" customWidth="1"/>
  </cols>
  <sheetData>
    <row r="1" spans="1:5" s="13" customFormat="1" x14ac:dyDescent="0.25"/>
    <row r="2" spans="1:5" s="13" customFormat="1" x14ac:dyDescent="0.25">
      <c r="A2" s="5" t="s">
        <v>101</v>
      </c>
      <c r="C2" s="42" t="s">
        <v>2</v>
      </c>
      <c r="D2" s="40">
        <v>55000</v>
      </c>
      <c r="E2" s="39" t="s">
        <v>5</v>
      </c>
    </row>
    <row r="3" spans="1:5" s="13" customFormat="1" x14ac:dyDescent="0.25">
      <c r="C3" s="42" t="s">
        <v>3</v>
      </c>
      <c r="D3" s="40">
        <v>589500</v>
      </c>
      <c r="E3" s="39"/>
    </row>
    <row r="4" spans="1:5" x14ac:dyDescent="0.25">
      <c r="A4" s="5" t="s">
        <v>0</v>
      </c>
      <c r="C4" s="42" t="s">
        <v>4</v>
      </c>
      <c r="D4" s="41">
        <v>17</v>
      </c>
      <c r="E4" s="39"/>
    </row>
    <row r="5" spans="1:5" x14ac:dyDescent="0.25">
      <c r="A5" t="s">
        <v>1</v>
      </c>
      <c r="B5" s="1">
        <f>D3*52%*D4</f>
        <v>5211180</v>
      </c>
    </row>
    <row r="6" spans="1:5" x14ac:dyDescent="0.25">
      <c r="A6" t="s">
        <v>2</v>
      </c>
      <c r="B6" s="1">
        <f>(D2/6)*D4</f>
        <v>155833.33333333331</v>
      </c>
    </row>
    <row r="7" spans="1:5" x14ac:dyDescent="0.25">
      <c r="A7" s="5" t="s">
        <v>20</v>
      </c>
      <c r="B7" s="2">
        <f>SUM(B5:B6)</f>
        <v>5367013.333333333</v>
      </c>
    </row>
    <row r="8" spans="1:5" x14ac:dyDescent="0.25">
      <c r="A8" s="5" t="s">
        <v>21</v>
      </c>
      <c r="B8" s="2">
        <f>B7*12</f>
        <v>64404160</v>
      </c>
    </row>
    <row r="9" spans="1:5" s="13" customFormat="1" x14ac:dyDescent="0.25">
      <c r="A9" s="5"/>
      <c r="B9" s="2"/>
    </row>
    <row r="10" spans="1:5" x14ac:dyDescent="0.25">
      <c r="A10" s="42" t="s">
        <v>6</v>
      </c>
      <c r="B10" s="42" t="s">
        <v>7</v>
      </c>
      <c r="C10" s="42" t="s">
        <v>19</v>
      </c>
      <c r="D10" s="42" t="s">
        <v>22</v>
      </c>
      <c r="E10" s="5"/>
    </row>
    <row r="11" spans="1:5" x14ac:dyDescent="0.25">
      <c r="A11" s="39" t="s">
        <v>8</v>
      </c>
      <c r="B11" s="43">
        <v>17672584.600000001</v>
      </c>
      <c r="C11" s="39">
        <v>6</v>
      </c>
      <c r="D11" s="40">
        <f t="shared" ref="D11:D21" si="0">C11*B11</f>
        <v>106035507.60000001</v>
      </c>
    </row>
    <row r="12" spans="1:5" x14ac:dyDescent="0.25">
      <c r="A12" s="39" t="s">
        <v>9</v>
      </c>
      <c r="B12" s="43">
        <v>4566166</v>
      </c>
      <c r="C12" s="39">
        <v>9</v>
      </c>
      <c r="D12" s="40">
        <f t="shared" si="0"/>
        <v>41095494</v>
      </c>
    </row>
    <row r="13" spans="1:5" x14ac:dyDescent="0.25">
      <c r="A13" s="39" t="s">
        <v>10</v>
      </c>
      <c r="B13" s="43">
        <v>3555101</v>
      </c>
      <c r="C13" s="39">
        <v>5</v>
      </c>
      <c r="D13" s="40">
        <f t="shared" si="0"/>
        <v>17775505</v>
      </c>
    </row>
    <row r="14" spans="1:5" x14ac:dyDescent="0.25">
      <c r="A14" s="39" t="s">
        <v>11</v>
      </c>
      <c r="B14" s="43">
        <v>3530901</v>
      </c>
      <c r="C14" s="39">
        <v>9</v>
      </c>
      <c r="D14" s="40">
        <f t="shared" si="0"/>
        <v>31778109</v>
      </c>
    </row>
    <row r="15" spans="1:5" x14ac:dyDescent="0.25">
      <c r="A15" s="39" t="s">
        <v>12</v>
      </c>
      <c r="B15" s="43">
        <v>1507000</v>
      </c>
      <c r="C15" s="39">
        <v>11</v>
      </c>
      <c r="D15" s="40">
        <f t="shared" si="0"/>
        <v>16577000</v>
      </c>
    </row>
    <row r="16" spans="1:5" x14ac:dyDescent="0.25">
      <c r="A16" s="39" t="s">
        <v>13</v>
      </c>
      <c r="B16" s="43">
        <v>1343100</v>
      </c>
      <c r="C16" s="39">
        <v>11</v>
      </c>
      <c r="D16" s="40">
        <f t="shared" si="0"/>
        <v>14774100</v>
      </c>
    </row>
    <row r="17" spans="1:4" x14ac:dyDescent="0.25">
      <c r="A17" s="39" t="s">
        <v>14</v>
      </c>
      <c r="B17" s="43">
        <v>732600</v>
      </c>
      <c r="C17" s="39">
        <v>7</v>
      </c>
      <c r="D17" s="40">
        <f t="shared" si="0"/>
        <v>5128200</v>
      </c>
    </row>
    <row r="18" spans="1:4" x14ac:dyDescent="0.25">
      <c r="A18" s="39" t="s">
        <v>15</v>
      </c>
      <c r="B18" s="43">
        <v>501780</v>
      </c>
      <c r="C18" s="39">
        <v>6</v>
      </c>
      <c r="D18" s="40">
        <f t="shared" si="0"/>
        <v>3010680</v>
      </c>
    </row>
    <row r="19" spans="1:4" x14ac:dyDescent="0.25">
      <c r="A19" s="39" t="s">
        <v>16</v>
      </c>
      <c r="B19" s="43">
        <v>193179.59999999998</v>
      </c>
      <c r="C19" s="39">
        <v>5</v>
      </c>
      <c r="D19" s="40">
        <f t="shared" si="0"/>
        <v>965897.99999999988</v>
      </c>
    </row>
    <row r="20" spans="1:4" x14ac:dyDescent="0.25">
      <c r="A20" s="39" t="s">
        <v>17</v>
      </c>
      <c r="B20" s="40">
        <v>67149.5</v>
      </c>
      <c r="C20" s="40">
        <v>170</v>
      </c>
      <c r="D20" s="40">
        <f t="shared" si="0"/>
        <v>11415415</v>
      </c>
    </row>
    <row r="21" spans="1:4" x14ac:dyDescent="0.25">
      <c r="A21" s="39" t="s">
        <v>96</v>
      </c>
      <c r="B21" s="40">
        <v>21255284.600000001</v>
      </c>
      <c r="C21" s="39">
        <v>1</v>
      </c>
      <c r="D21" s="40">
        <f t="shared" si="0"/>
        <v>21255284.600000001</v>
      </c>
    </row>
    <row r="22" spans="1:4" x14ac:dyDescent="0.25">
      <c r="A22" s="39"/>
      <c r="B22" s="39"/>
      <c r="C22" s="39"/>
      <c r="D22" s="40">
        <f>SUM(D11:D21)</f>
        <v>269811193.20000005</v>
      </c>
    </row>
    <row r="24" spans="1:4" x14ac:dyDescent="0.25">
      <c r="A24" s="5" t="s">
        <v>97</v>
      </c>
      <c r="B24" s="6">
        <f>B8+D22</f>
        <v>334215353.20000005</v>
      </c>
    </row>
    <row r="27" spans="1:4" x14ac:dyDescent="0.25">
      <c r="B27" s="2"/>
    </row>
    <row r="31" spans="1:4" x14ac:dyDescent="0.25">
      <c r="B31" s="48">
        <v>37</v>
      </c>
    </row>
    <row r="78" spans="4:4" x14ac:dyDescent="0.25">
      <c r="D78" s="4"/>
    </row>
    <row r="79" spans="4:4" x14ac:dyDescent="0.25">
      <c r="D79" s="4"/>
    </row>
    <row r="80" spans="4:4" x14ac:dyDescent="0.25">
      <c r="D80" s="4"/>
    </row>
  </sheetData>
  <pageMargins left="0.7" right="0.7" top="0.75" bottom="0.75" header="0.3" footer="0.3"/>
  <pageSetup orientation="landscape" r:id="rId1"/>
  <headerFooter>
    <oddFooter>&amp;C&amp;"arial unicode ms western,Regular"&amp;6 Liberty Seguros - Documento con información Interna</oddFooter>
    <evenFooter>&amp;C&amp;"arial unicode ms western,Regular"&amp;6 Liberty Seguros - Documento con información Interna</evenFooter>
    <firstFooter>&amp;C&amp;"arial unicode ms western,Regular"&amp;6 Liberty Seguros - Documento con información Interna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9" workbookViewId="0">
      <selection activeCell="A2" sqref="A2"/>
    </sheetView>
  </sheetViews>
  <sheetFormatPr baseColWidth="10" defaultColWidth="11.42578125" defaultRowHeight="15" x14ac:dyDescent="0.25"/>
  <cols>
    <col min="1" max="1" width="43.140625" bestFit="1" customWidth="1"/>
    <col min="2" max="2" width="16.7109375" bestFit="1" customWidth="1"/>
    <col min="3" max="3" width="9.5703125" customWidth="1"/>
    <col min="4" max="4" width="15.140625" bestFit="1" customWidth="1"/>
    <col min="5" max="5" width="14.140625" bestFit="1" customWidth="1"/>
    <col min="6" max="6" width="13.140625" bestFit="1" customWidth="1"/>
  </cols>
  <sheetData>
    <row r="1" spans="1:6" s="13" customFormat="1" x14ac:dyDescent="0.25"/>
    <row r="2" spans="1:6" s="13" customFormat="1" x14ac:dyDescent="0.25">
      <c r="A2" s="5" t="s">
        <v>102</v>
      </c>
    </row>
    <row r="3" spans="1:6" s="13" customFormat="1" x14ac:dyDescent="0.25"/>
    <row r="4" spans="1:6" ht="30" x14ac:dyDescent="0.25">
      <c r="A4" s="5" t="s">
        <v>6</v>
      </c>
      <c r="B4" s="5" t="s">
        <v>100</v>
      </c>
      <c r="C4" s="49" t="s">
        <v>99</v>
      </c>
      <c r="D4" s="5" t="s">
        <v>41</v>
      </c>
    </row>
    <row r="5" spans="1:6" x14ac:dyDescent="0.25">
      <c r="A5" s="39" t="s">
        <v>8</v>
      </c>
      <c r="B5" s="40">
        <v>17672584.600000001</v>
      </c>
      <c r="C5" s="39">
        <v>9.6</v>
      </c>
      <c r="D5" s="40">
        <f t="shared" ref="D5:D15" si="0">C5*B5</f>
        <v>169656812.16</v>
      </c>
      <c r="E5" s="43">
        <v>17672584.600000001</v>
      </c>
    </row>
    <row r="6" spans="1:6" x14ac:dyDescent="0.25">
      <c r="A6" s="39" t="s">
        <v>9</v>
      </c>
      <c r="B6" s="40">
        <v>4566166</v>
      </c>
      <c r="C6" s="39">
        <v>19</v>
      </c>
      <c r="D6" s="40">
        <f t="shared" si="0"/>
        <v>86757154</v>
      </c>
      <c r="E6" s="43">
        <v>4566166</v>
      </c>
    </row>
    <row r="7" spans="1:6" x14ac:dyDescent="0.25">
      <c r="A7" s="39" t="s">
        <v>10</v>
      </c>
      <c r="B7" s="40">
        <v>3555101</v>
      </c>
      <c r="C7" s="39">
        <v>12</v>
      </c>
      <c r="D7" s="40">
        <f t="shared" si="0"/>
        <v>42661212</v>
      </c>
      <c r="E7" s="43">
        <v>3555101</v>
      </c>
    </row>
    <row r="8" spans="1:6" x14ac:dyDescent="0.25">
      <c r="A8" s="39" t="s">
        <v>11</v>
      </c>
      <c r="B8" s="40">
        <v>3530901</v>
      </c>
      <c r="C8" s="39">
        <v>16</v>
      </c>
      <c r="D8" s="40">
        <f t="shared" si="0"/>
        <v>56494416</v>
      </c>
      <c r="E8" s="43">
        <v>3530901</v>
      </c>
    </row>
    <row r="9" spans="1:6" x14ac:dyDescent="0.25">
      <c r="A9" s="39" t="s">
        <v>12</v>
      </c>
      <c r="B9" s="40">
        <v>1507000</v>
      </c>
      <c r="C9" s="39">
        <v>25</v>
      </c>
      <c r="D9" s="40">
        <f t="shared" si="0"/>
        <v>37675000</v>
      </c>
      <c r="E9" s="43">
        <v>1507000</v>
      </c>
    </row>
    <row r="10" spans="1:6" x14ac:dyDescent="0.25">
      <c r="A10" s="39" t="s">
        <v>13</v>
      </c>
      <c r="B10" s="40">
        <v>1343100</v>
      </c>
      <c r="C10" s="39">
        <v>16</v>
      </c>
      <c r="D10" s="40">
        <f t="shared" si="0"/>
        <v>21489600</v>
      </c>
      <c r="E10" s="43">
        <v>1343100</v>
      </c>
    </row>
    <row r="11" spans="1:6" x14ac:dyDescent="0.25">
      <c r="A11" s="39" t="s">
        <v>14</v>
      </c>
      <c r="B11" s="40">
        <v>732600</v>
      </c>
      <c r="C11" s="39">
        <v>14</v>
      </c>
      <c r="D11" s="40">
        <f t="shared" si="0"/>
        <v>10256400</v>
      </c>
      <c r="E11" s="43">
        <v>732600</v>
      </c>
    </row>
    <row r="12" spans="1:6" x14ac:dyDescent="0.25">
      <c r="A12" s="39" t="s">
        <v>15</v>
      </c>
      <c r="B12" s="40">
        <v>501780</v>
      </c>
      <c r="C12" s="39">
        <v>12</v>
      </c>
      <c r="D12" s="40">
        <f t="shared" si="0"/>
        <v>6021360</v>
      </c>
      <c r="E12" s="43">
        <v>501780</v>
      </c>
    </row>
    <row r="13" spans="1:6" x14ac:dyDescent="0.25">
      <c r="A13" s="39" t="s">
        <v>16</v>
      </c>
      <c r="B13" s="40">
        <v>193179.59999999998</v>
      </c>
      <c r="C13" s="39">
        <v>12.5</v>
      </c>
      <c r="D13" s="40">
        <f t="shared" si="0"/>
        <v>2414744.9999999995</v>
      </c>
      <c r="E13" s="43">
        <v>193179.59999999998</v>
      </c>
    </row>
    <row r="14" spans="1:6" x14ac:dyDescent="0.25">
      <c r="A14" s="39" t="s">
        <v>17</v>
      </c>
      <c r="B14" s="40">
        <f>B6/68</f>
        <v>67149.5</v>
      </c>
      <c r="C14" s="40">
        <v>350</v>
      </c>
      <c r="D14" s="40">
        <f t="shared" si="0"/>
        <v>23502325</v>
      </c>
      <c r="E14" s="40">
        <v>830000</v>
      </c>
      <c r="F14" s="4"/>
    </row>
    <row r="15" spans="1:6" x14ac:dyDescent="0.25">
      <c r="A15" s="39" t="s">
        <v>18</v>
      </c>
      <c r="B15" s="40">
        <v>21255284.600000001</v>
      </c>
      <c r="C15" s="39">
        <v>2</v>
      </c>
      <c r="D15" s="40">
        <f t="shared" si="0"/>
        <v>42510569.200000003</v>
      </c>
      <c r="E15" s="40">
        <f>E5+E9+E10+E11</f>
        <v>21255284.600000001</v>
      </c>
    </row>
    <row r="16" spans="1:6" x14ac:dyDescent="0.25">
      <c r="D16" s="4">
        <f>SUM(D5:D15)</f>
        <v>499439593.35999995</v>
      </c>
    </row>
    <row r="17" spans="2:4" x14ac:dyDescent="0.25">
      <c r="D17" s="4">
        <f>D16-'COSTOS '!F17</f>
        <v>499439593.35999995</v>
      </c>
    </row>
    <row r="18" spans="2:4" x14ac:dyDescent="0.25">
      <c r="D18" s="4">
        <f>D17/12</f>
        <v>41619966.11333333</v>
      </c>
    </row>
    <row r="30" spans="2:4" x14ac:dyDescent="0.25">
      <c r="B30" s="48">
        <v>38</v>
      </c>
    </row>
  </sheetData>
  <pageMargins left="0.7" right="0.7" top="0.75" bottom="0.75" header="0.3" footer="0.3"/>
  <pageSetup orientation="landscape" r:id="rId1"/>
  <headerFooter>
    <oddFooter>&amp;C&amp;"arial unicode ms western,Regular"&amp;6 Liberty Seguros - Documento con información Interna</oddFooter>
    <evenFooter>&amp;C&amp;"arial unicode ms western,Regular"&amp;6 Liberty Seguros - Documento con información Interna</evenFooter>
    <firstFooter>&amp;C&amp;"arial unicode ms western,Regular"&amp;6 Liberty Seguros - Documento con información Interna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A3" sqref="A3:E3"/>
    </sheetView>
  </sheetViews>
  <sheetFormatPr baseColWidth="10" defaultColWidth="11.42578125" defaultRowHeight="15" x14ac:dyDescent="0.25"/>
  <cols>
    <col min="1" max="1" width="30.7109375" bestFit="1" customWidth="1"/>
    <col min="3" max="3" width="11.5703125" bestFit="1" customWidth="1"/>
    <col min="4" max="4" width="15.5703125" bestFit="1" customWidth="1"/>
    <col min="6" max="6" width="16.7109375" bestFit="1" customWidth="1"/>
  </cols>
  <sheetData>
    <row r="1" spans="1:5" s="13" customFormat="1" x14ac:dyDescent="0.25"/>
    <row r="2" spans="1:5" s="13" customFormat="1" x14ac:dyDescent="0.25"/>
    <row r="3" spans="1:5" s="13" customFormat="1" x14ac:dyDescent="0.25">
      <c r="A3" s="50" t="s">
        <v>103</v>
      </c>
      <c r="B3" s="50"/>
      <c r="C3" s="50"/>
      <c r="D3" s="50"/>
      <c r="E3" s="50"/>
    </row>
    <row r="5" spans="1:5" x14ac:dyDescent="0.25">
      <c r="A5" s="5" t="s">
        <v>23</v>
      </c>
    </row>
    <row r="7" spans="1:5" x14ac:dyDescent="0.25">
      <c r="A7" s="42" t="s">
        <v>24</v>
      </c>
      <c r="B7" s="42" t="s">
        <v>25</v>
      </c>
      <c r="C7" s="42" t="s">
        <v>26</v>
      </c>
      <c r="D7" s="42" t="s">
        <v>98</v>
      </c>
    </row>
    <row r="8" spans="1:5" x14ac:dyDescent="0.25">
      <c r="A8" s="39" t="s">
        <v>27</v>
      </c>
      <c r="B8" s="39">
        <v>5</v>
      </c>
      <c r="C8" s="39">
        <v>55000</v>
      </c>
      <c r="D8" s="39">
        <f>C8*B8</f>
        <v>275000</v>
      </c>
    </row>
    <row r="9" spans="1:5" x14ac:dyDescent="0.25">
      <c r="A9" s="39" t="s">
        <v>28</v>
      </c>
      <c r="B9" s="39">
        <v>1</v>
      </c>
      <c r="C9" s="39">
        <v>250000</v>
      </c>
      <c r="D9" s="39">
        <f>C9*B9</f>
        <v>250000</v>
      </c>
    </row>
    <row r="11" spans="1:5" x14ac:dyDescent="0.25">
      <c r="A11" s="5" t="s">
        <v>29</v>
      </c>
    </row>
    <row r="12" spans="1:5" x14ac:dyDescent="0.25">
      <c r="A12" s="39" t="s">
        <v>30</v>
      </c>
      <c r="B12" s="39">
        <v>3</v>
      </c>
      <c r="C12" s="44">
        <v>35000</v>
      </c>
      <c r="D12" s="44">
        <f>C12*B12</f>
        <v>105000</v>
      </c>
    </row>
    <row r="13" spans="1:5" x14ac:dyDescent="0.25">
      <c r="A13" s="39" t="s">
        <v>31</v>
      </c>
      <c r="B13" s="39">
        <v>25</v>
      </c>
      <c r="C13" s="44">
        <v>5000</v>
      </c>
      <c r="D13" s="44">
        <f t="shared" ref="D13:D15" si="0">C13*B13</f>
        <v>125000</v>
      </c>
    </row>
    <row r="14" spans="1:5" x14ac:dyDescent="0.25">
      <c r="A14" s="39" t="s">
        <v>32</v>
      </c>
      <c r="B14" s="39">
        <v>50</v>
      </c>
      <c r="C14" s="44">
        <v>3000</v>
      </c>
      <c r="D14" s="44">
        <f t="shared" si="0"/>
        <v>150000</v>
      </c>
    </row>
    <row r="15" spans="1:5" x14ac:dyDescent="0.25">
      <c r="A15" s="39" t="s">
        <v>33</v>
      </c>
      <c r="B15" s="39">
        <v>25</v>
      </c>
      <c r="C15" s="44">
        <v>1500</v>
      </c>
      <c r="D15" s="44">
        <f t="shared" si="0"/>
        <v>37500</v>
      </c>
    </row>
    <row r="16" spans="1:5" s="13" customFormat="1" x14ac:dyDescent="0.25">
      <c r="A16" s="39" t="s">
        <v>93</v>
      </c>
      <c r="B16" s="39">
        <v>4</v>
      </c>
      <c r="C16" s="44">
        <v>250000</v>
      </c>
      <c r="D16" s="44">
        <f>+C16*B16</f>
        <v>1000000</v>
      </c>
    </row>
    <row r="17" spans="1:6" x14ac:dyDescent="0.25">
      <c r="A17" s="42" t="s">
        <v>36</v>
      </c>
      <c r="B17" s="42"/>
      <c r="C17" s="42"/>
      <c r="D17" s="46">
        <f>SUM(D8:D16)</f>
        <v>1942500</v>
      </c>
      <c r="F17" s="2"/>
    </row>
    <row r="19" spans="1:6" x14ac:dyDescent="0.25">
      <c r="A19" s="5" t="s">
        <v>34</v>
      </c>
    </row>
    <row r="20" spans="1:6" x14ac:dyDescent="0.25">
      <c r="A20" s="39" t="s">
        <v>35</v>
      </c>
      <c r="B20" s="39">
        <v>1</v>
      </c>
      <c r="C20" s="39">
        <v>2000000</v>
      </c>
      <c r="D20" s="45">
        <f>C20*B20*12</f>
        <v>24000000</v>
      </c>
    </row>
    <row r="21" spans="1:6" x14ac:dyDescent="0.25">
      <c r="A21" s="39" t="s">
        <v>37</v>
      </c>
      <c r="B21" s="39"/>
      <c r="C21" s="39"/>
      <c r="D21" s="45">
        <v>12000000</v>
      </c>
    </row>
    <row r="23" spans="1:6" x14ac:dyDescent="0.25">
      <c r="A23" s="39" t="s">
        <v>38</v>
      </c>
      <c r="B23" s="39"/>
      <c r="C23" s="39"/>
      <c r="D23" s="47">
        <f>D21+D20</f>
        <v>36000000</v>
      </c>
    </row>
    <row r="32" spans="1:6" x14ac:dyDescent="0.25">
      <c r="D32" s="48">
        <v>39</v>
      </c>
    </row>
  </sheetData>
  <mergeCells count="1">
    <mergeCell ref="A3:E3"/>
  </mergeCells>
  <pageMargins left="0.7" right="0.7" top="0.75" bottom="0.75" header="0.3" footer="0.3"/>
  <pageSetup orientation="landscape" r:id="rId1"/>
  <headerFooter>
    <oddFooter>&amp;C&amp;"arial unicode ms western,Regular"&amp;6 Liberty Seguros - Documento con información Interna</oddFooter>
    <evenFooter>&amp;C&amp;"arial unicode ms western,Regular"&amp;6 Liberty Seguros - Documento con información Interna</evenFooter>
    <firstFooter>&amp;C&amp;"arial unicode ms western,Regular"&amp;6 Liberty Seguros - Documento con información Interna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8" workbookViewId="0">
      <selection activeCell="A3" sqref="A3:F3"/>
    </sheetView>
  </sheetViews>
  <sheetFormatPr baseColWidth="10" defaultColWidth="11.42578125" defaultRowHeight="15" x14ac:dyDescent="0.25"/>
  <cols>
    <col min="1" max="1" width="35.42578125" bestFit="1" customWidth="1"/>
    <col min="2" max="2" width="14.5703125" bestFit="1" customWidth="1"/>
    <col min="3" max="7" width="16.7109375" bestFit="1" customWidth="1"/>
  </cols>
  <sheetData>
    <row r="1" spans="1:7" s="13" customFormat="1" x14ac:dyDescent="0.25"/>
    <row r="2" spans="1:7" s="13" customFormat="1" x14ac:dyDescent="0.25"/>
    <row r="3" spans="1:7" s="13" customFormat="1" x14ac:dyDescent="0.25">
      <c r="A3" s="50" t="s">
        <v>104</v>
      </c>
      <c r="B3" s="50"/>
      <c r="C3" s="50"/>
      <c r="D3" s="50"/>
      <c r="E3" s="50"/>
      <c r="F3" s="50"/>
    </row>
    <row r="4" spans="1:7" s="13" customFormat="1" x14ac:dyDescent="0.25"/>
    <row r="6" spans="1:7" x14ac:dyDescent="0.25">
      <c r="B6" s="5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</row>
    <row r="7" spans="1:7" x14ac:dyDescent="0.25">
      <c r="A7" t="s">
        <v>39</v>
      </c>
    </row>
    <row r="8" spans="1:7" x14ac:dyDescent="0.25">
      <c r="A8" s="39" t="s">
        <v>40</v>
      </c>
      <c r="B8" s="39"/>
      <c r="C8" s="40">
        <f>'INGRESOS '!D16</f>
        <v>499439593.35999995</v>
      </c>
      <c r="D8" s="40">
        <f>+C8*1.05</f>
        <v>524411573.028</v>
      </c>
      <c r="E8" s="40">
        <f>+D8*1.05</f>
        <v>550632151.67939997</v>
      </c>
      <c r="F8" s="40">
        <f>+E8*1.05</f>
        <v>578163759.26337004</v>
      </c>
      <c r="G8" s="40">
        <f>+F8*1.5</f>
        <v>867245638.89505506</v>
      </c>
    </row>
    <row r="9" spans="1:7" x14ac:dyDescent="0.25">
      <c r="A9" s="39" t="s">
        <v>42</v>
      </c>
      <c r="B9" s="39"/>
      <c r="C9" s="47">
        <f>'CF Y CV ANO'!B24</f>
        <v>334215353.20000005</v>
      </c>
      <c r="D9" s="47">
        <f>+C9*1.03</f>
        <v>344241813.79600006</v>
      </c>
      <c r="E9" s="47">
        <f>+D9*1.03</f>
        <v>354569068.20988005</v>
      </c>
      <c r="F9" s="47">
        <f>+E9*1.03</f>
        <v>365206140.25617647</v>
      </c>
      <c r="G9" s="47">
        <f>+F9*1.03</f>
        <v>376162324.46386176</v>
      </c>
    </row>
    <row r="11" spans="1:7" x14ac:dyDescent="0.25">
      <c r="A11" s="5" t="s">
        <v>43</v>
      </c>
    </row>
    <row r="13" spans="1:7" x14ac:dyDescent="0.25">
      <c r="A13" t="s">
        <v>44</v>
      </c>
      <c r="C13" s="2">
        <f>'COSTOS '!D21</f>
        <v>12000000</v>
      </c>
      <c r="D13" s="2">
        <f>C13</f>
        <v>12000000</v>
      </c>
      <c r="E13" s="2">
        <f t="shared" ref="E13:G13" si="0">D13</f>
        <v>12000000</v>
      </c>
      <c r="F13" s="2">
        <f t="shared" si="0"/>
        <v>12000000</v>
      </c>
      <c r="G13" s="2">
        <f t="shared" si="0"/>
        <v>12000000</v>
      </c>
    </row>
    <row r="14" spans="1:7" x14ac:dyDescent="0.25">
      <c r="A14" t="s">
        <v>34</v>
      </c>
      <c r="C14" s="2">
        <f>'COSTOS '!D20</f>
        <v>24000000</v>
      </c>
      <c r="D14" s="2">
        <f>C14</f>
        <v>24000000</v>
      </c>
      <c r="E14" s="2">
        <f t="shared" ref="E14:G14" si="1">D14</f>
        <v>24000000</v>
      </c>
      <c r="F14" s="2">
        <f t="shared" si="1"/>
        <v>24000000</v>
      </c>
      <c r="G14" s="2">
        <f t="shared" si="1"/>
        <v>24000000</v>
      </c>
    </row>
    <row r="15" spans="1:7" x14ac:dyDescent="0.25">
      <c r="A15" t="s">
        <v>45</v>
      </c>
    </row>
    <row r="16" spans="1:7" x14ac:dyDescent="0.25">
      <c r="A16" t="s">
        <v>46</v>
      </c>
    </row>
    <row r="17" spans="1:2" x14ac:dyDescent="0.25">
      <c r="A17" t="s">
        <v>47</v>
      </c>
    </row>
    <row r="19" spans="1:2" x14ac:dyDescent="0.25">
      <c r="A19" s="5" t="s">
        <v>48</v>
      </c>
    </row>
    <row r="21" spans="1:2" x14ac:dyDescent="0.25">
      <c r="A21" t="s">
        <v>49</v>
      </c>
    </row>
    <row r="23" spans="1:2" x14ac:dyDescent="0.25">
      <c r="A23" t="s">
        <v>50</v>
      </c>
    </row>
    <row r="26" spans="1:2" x14ac:dyDescent="0.25">
      <c r="A26" t="s">
        <v>51</v>
      </c>
    </row>
    <row r="27" spans="1:2" x14ac:dyDescent="0.25">
      <c r="A27" t="s">
        <v>47</v>
      </c>
    </row>
    <row r="28" spans="1:2" x14ac:dyDescent="0.25">
      <c r="A28" t="s">
        <v>52</v>
      </c>
    </row>
    <row r="30" spans="1:2" x14ac:dyDescent="0.25">
      <c r="A30" t="s">
        <v>53</v>
      </c>
      <c r="B30" s="2">
        <f>'COSTOS '!D17</f>
        <v>1942500</v>
      </c>
    </row>
    <row r="32" spans="1:2" x14ac:dyDescent="0.25">
      <c r="A32" t="s">
        <v>54</v>
      </c>
    </row>
    <row r="33" spans="1:7" x14ac:dyDescent="0.25">
      <c r="A33" t="s">
        <v>55</v>
      </c>
    </row>
    <row r="34" spans="1:7" x14ac:dyDescent="0.25">
      <c r="A34" t="s">
        <v>56</v>
      </c>
      <c r="B34" s="7">
        <f>B8-B9-B13-B14-B15-B16-B17--B21+B26+B27-B28-B30-B32+B33</f>
        <v>-1942500</v>
      </c>
      <c r="C34" s="7">
        <f>C8-C9-C13-C14-C15-C16-C17--C21+C26+C27-C28-C30-C32+C33</f>
        <v>129224240.15999991</v>
      </c>
      <c r="D34" s="7">
        <f>D8-D9-D13-D14-D15-D16-D17--D21+D26+D27-D28-D30-D32+D33</f>
        <v>144169759.23199993</v>
      </c>
      <c r="E34" s="7">
        <f t="shared" ref="E34:G34" si="2">E8-E9-E13-E14-E15-E16-E17--E21+E26+E27-E28-E30-E32+E33</f>
        <v>160063083.46951991</v>
      </c>
      <c r="F34" s="7">
        <f t="shared" si="2"/>
        <v>176957619.00719357</v>
      </c>
      <c r="G34" s="7">
        <f t="shared" si="2"/>
        <v>455083314.43119329</v>
      </c>
    </row>
    <row r="37" spans="1:7" x14ac:dyDescent="0.25">
      <c r="A37" s="9" t="s">
        <v>57</v>
      </c>
      <c r="B37" s="8">
        <v>0.21</v>
      </c>
    </row>
    <row r="38" spans="1:7" x14ac:dyDescent="0.25">
      <c r="A38" s="9" t="s">
        <v>58</v>
      </c>
      <c r="B38" s="3"/>
      <c r="C38" s="3">
        <f>1/(1+$B$37)^C6</f>
        <v>0.82644628099173556</v>
      </c>
      <c r="D38" s="3">
        <f t="shared" ref="D38:G38" si="3">1/(1+$B$37)^D6</f>
        <v>0.68301345536507074</v>
      </c>
      <c r="E38" s="3">
        <f t="shared" si="3"/>
        <v>0.56447393005377744</v>
      </c>
      <c r="F38" s="3">
        <f t="shared" si="3"/>
        <v>0.46650738020973348</v>
      </c>
      <c r="G38" s="3">
        <f t="shared" si="3"/>
        <v>0.38554328942953181</v>
      </c>
    </row>
    <row r="39" spans="1:7" x14ac:dyDescent="0.25">
      <c r="B39" s="7">
        <f>B34</f>
        <v>-1942500</v>
      </c>
      <c r="C39" s="7">
        <f>C38*C34</f>
        <v>106796892.69421481</v>
      </c>
      <c r="D39" s="7">
        <f t="shared" ref="D39:G39" si="4">D38*D34</f>
        <v>98469885.412198588</v>
      </c>
      <c r="E39" s="7">
        <f t="shared" si="4"/>
        <v>90351437.782565728</v>
      </c>
      <c r="F39" s="7">
        <f t="shared" si="4"/>
        <v>82552035.251198009</v>
      </c>
      <c r="G39" s="7">
        <f t="shared" si="4"/>
        <v>175454318.0102962</v>
      </c>
    </row>
    <row r="40" spans="1:7" x14ac:dyDescent="0.25">
      <c r="F40" t="s">
        <v>59</v>
      </c>
    </row>
    <row r="44" spans="1:7" x14ac:dyDescent="0.25">
      <c r="C44" s="48">
        <v>40</v>
      </c>
    </row>
  </sheetData>
  <mergeCells count="1">
    <mergeCell ref="A3:F3"/>
  </mergeCells>
  <pageMargins left="0.7" right="0.7" top="0.75" bottom="0.75" header="0.3" footer="0.3"/>
  <pageSetup orientation="landscape" r:id="rId1"/>
  <headerFooter>
    <oddFooter>&amp;C&amp;"arial unicode ms western,Regular"&amp;6 Liberty Seguros - Documento con información Interna</oddFooter>
    <evenFooter>&amp;C&amp;"arial unicode ms western,Regular"&amp;6 Liberty Seguros - Documento con información Interna</evenFooter>
    <firstFooter>&amp;C&amp;"arial unicode ms western,Regular"&amp;6 Liberty Seguros - Documento con información Interna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showGridLines="0" tabSelected="1" workbookViewId="0">
      <selection activeCell="I9" sqref="I9"/>
    </sheetView>
  </sheetViews>
  <sheetFormatPr baseColWidth="10" defaultColWidth="9.140625" defaultRowHeight="15" x14ac:dyDescent="0.25"/>
  <cols>
    <col min="1" max="1" width="4.140625" customWidth="1"/>
    <col min="2" max="2" width="36" bestFit="1" customWidth="1"/>
    <col min="3" max="3" width="10.85546875" bestFit="1" customWidth="1"/>
    <col min="4" max="8" width="9.28515625" bestFit="1" customWidth="1"/>
    <col min="9" max="9" width="7.7109375" customWidth="1"/>
  </cols>
  <sheetData>
    <row r="1" spans="2:9" s="13" customFormat="1" x14ac:dyDescent="0.25"/>
    <row r="2" spans="2:9" s="13" customFormat="1" x14ac:dyDescent="0.25"/>
    <row r="3" spans="2:9" s="13" customFormat="1" x14ac:dyDescent="0.25">
      <c r="B3" s="5" t="s">
        <v>105</v>
      </c>
    </row>
    <row r="5" spans="2:9" x14ac:dyDescent="0.25">
      <c r="B5" s="11" t="s">
        <v>71</v>
      </c>
      <c r="C5" s="12"/>
      <c r="D5" s="12"/>
      <c r="E5" s="12"/>
      <c r="F5" s="12"/>
      <c r="G5" s="12"/>
      <c r="H5" s="12"/>
      <c r="I5" s="12"/>
    </row>
    <row r="6" spans="2:9" s="13" customFormat="1" x14ac:dyDescent="0.25">
      <c r="B6" s="38" t="s">
        <v>92</v>
      </c>
      <c r="C6" s="12"/>
      <c r="D6" s="12"/>
      <c r="E6" s="12"/>
      <c r="F6" s="12"/>
      <c r="G6" s="12"/>
      <c r="H6" s="12"/>
      <c r="I6" s="12"/>
    </row>
    <row r="7" spans="2:9" x14ac:dyDescent="0.25">
      <c r="B7" s="10"/>
      <c r="C7" s="14">
        <v>2014</v>
      </c>
      <c r="D7" s="14">
        <v>2015</v>
      </c>
      <c r="E7" s="14">
        <v>2016</v>
      </c>
      <c r="F7" s="14">
        <v>2017</v>
      </c>
      <c r="G7" s="14">
        <v>2018</v>
      </c>
      <c r="H7" s="14">
        <v>2019</v>
      </c>
      <c r="I7" s="14">
        <v>2020</v>
      </c>
    </row>
    <row r="8" spans="2:9" x14ac:dyDescent="0.25">
      <c r="B8" s="11" t="s">
        <v>61</v>
      </c>
      <c r="C8" s="29">
        <f>'FLUJO DE FONDOS PROTOTIPO '!C8/1000000</f>
        <v>499.43959335999995</v>
      </c>
      <c r="D8" s="29">
        <f>'FLUJO DE FONDOS PROTOTIPO '!D8/1000000</f>
        <v>524.41157302800002</v>
      </c>
      <c r="E8" s="29">
        <f>'FLUJO DE FONDOS PROTOTIPO '!E8/1000000</f>
        <v>550.63215167939995</v>
      </c>
      <c r="F8" s="29">
        <f>'FLUJO DE FONDOS PROTOTIPO '!F8/1000000</f>
        <v>578.16375926337003</v>
      </c>
      <c r="G8" s="29">
        <f>+F8*1.05</f>
        <v>607.07194722653855</v>
      </c>
      <c r="H8" s="15">
        <f>+G8*1.05</f>
        <v>637.42554458786549</v>
      </c>
      <c r="I8" s="15">
        <f>+H8*1.05</f>
        <v>669.29682181725877</v>
      </c>
    </row>
    <row r="9" spans="2:9" ht="15.75" thickBot="1" x14ac:dyDescent="0.3">
      <c r="B9" s="11" t="s">
        <v>94</v>
      </c>
      <c r="C9" s="30">
        <f>'FLUJO DE FONDOS PROTOTIPO '!C9/1000000</f>
        <v>334.21535320000004</v>
      </c>
      <c r="D9" s="30">
        <f>'FLUJO DE FONDOS PROTOTIPO '!D9/1000000</f>
        <v>344.24181379600009</v>
      </c>
      <c r="E9" s="30">
        <f>'FLUJO DE FONDOS PROTOTIPO '!E9/1000000</f>
        <v>354.56906820988007</v>
      </c>
      <c r="F9" s="30">
        <f>'FLUJO DE FONDOS PROTOTIPO '!F9/1000000</f>
        <v>365.20614025617647</v>
      </c>
      <c r="G9" s="30">
        <f>'FLUJO DE FONDOS PROTOTIPO '!G9/1000000</f>
        <v>376.16232446386175</v>
      </c>
      <c r="H9" s="16">
        <f>+G9*1.03</f>
        <v>387.44719419777761</v>
      </c>
      <c r="I9" s="16">
        <f>+H9*1.03</f>
        <v>399.07061002371097</v>
      </c>
    </row>
    <row r="10" spans="2:9" ht="15.75" thickTop="1" x14ac:dyDescent="0.25">
      <c r="B10" s="10" t="s">
        <v>62</v>
      </c>
      <c r="C10" s="17">
        <f>C8-C9</f>
        <v>165.22424015999991</v>
      </c>
      <c r="D10" s="17">
        <f t="shared" ref="D10:I10" si="0">D8-D9</f>
        <v>180.16975923199993</v>
      </c>
      <c r="E10" s="17">
        <f t="shared" si="0"/>
        <v>196.06308346951988</v>
      </c>
      <c r="F10" s="17">
        <f t="shared" si="0"/>
        <v>212.95761900719356</v>
      </c>
      <c r="G10" s="17">
        <f t="shared" si="0"/>
        <v>230.9096227626768</v>
      </c>
      <c r="H10" s="17">
        <f t="shared" si="0"/>
        <v>249.97835039008788</v>
      </c>
      <c r="I10" s="17">
        <f t="shared" si="0"/>
        <v>270.2262117935478</v>
      </c>
    </row>
    <row r="11" spans="2:9" x14ac:dyDescent="0.25">
      <c r="B11" s="11"/>
      <c r="C11" s="12"/>
      <c r="D11" s="12"/>
      <c r="E11" s="12"/>
      <c r="F11" s="12"/>
      <c r="G11" s="12"/>
      <c r="H11" s="12"/>
      <c r="I11" s="12"/>
    </row>
    <row r="12" spans="2:9" x14ac:dyDescent="0.25">
      <c r="B12" s="11" t="s">
        <v>63</v>
      </c>
      <c r="C12" s="12"/>
      <c r="D12" s="12"/>
      <c r="E12" s="12"/>
      <c r="F12" s="12"/>
      <c r="G12" s="12"/>
      <c r="H12" s="12"/>
      <c r="I12" s="12"/>
    </row>
    <row r="13" spans="2:9" x14ac:dyDescent="0.25">
      <c r="B13" s="11" t="s">
        <v>64</v>
      </c>
      <c r="C13" s="12"/>
      <c r="D13" s="12"/>
      <c r="E13" s="12"/>
      <c r="F13" s="12"/>
      <c r="G13" s="12"/>
      <c r="H13" s="12"/>
      <c r="I13" s="12"/>
    </row>
    <row r="14" spans="2:9" x14ac:dyDescent="0.25">
      <c r="B14" s="18" t="s">
        <v>65</v>
      </c>
      <c r="C14" s="29">
        <f>'FLUJO DE FONDOS PROTOTIPO '!C13/1000000</f>
        <v>12</v>
      </c>
      <c r="D14" s="29">
        <f>'FLUJO DE FONDOS PROTOTIPO '!D13/1000000</f>
        <v>12</v>
      </c>
      <c r="E14" s="29">
        <f>'FLUJO DE FONDOS PROTOTIPO '!E13/1000000</f>
        <v>12</v>
      </c>
      <c r="F14" s="29">
        <f>'FLUJO DE FONDOS PROTOTIPO '!F13/1000000</f>
        <v>12</v>
      </c>
      <c r="G14" s="29">
        <f>'FLUJO DE FONDOS PROTOTIPO '!G13/1000000</f>
        <v>12</v>
      </c>
      <c r="H14" s="15">
        <f>G14</f>
        <v>12</v>
      </c>
      <c r="I14" s="15">
        <f>H14</f>
        <v>12</v>
      </c>
    </row>
    <row r="15" spans="2:9" x14ac:dyDescent="0.25">
      <c r="B15" s="18" t="s">
        <v>66</v>
      </c>
      <c r="C15" s="29">
        <v>5</v>
      </c>
      <c r="D15" s="29">
        <v>5</v>
      </c>
      <c r="E15" s="29">
        <v>5</v>
      </c>
      <c r="F15" s="29">
        <v>0</v>
      </c>
      <c r="G15" s="29">
        <v>0</v>
      </c>
      <c r="H15" s="15">
        <f>G15</f>
        <v>0</v>
      </c>
      <c r="I15" s="15">
        <f>H15</f>
        <v>0</v>
      </c>
    </row>
    <row r="16" spans="2:9" x14ac:dyDescent="0.25">
      <c r="B16" s="11" t="s">
        <v>67</v>
      </c>
      <c r="C16" s="12"/>
      <c r="D16" s="12"/>
      <c r="E16" s="12"/>
      <c r="F16" s="12"/>
      <c r="G16" s="12"/>
      <c r="H16" s="12"/>
      <c r="I16" s="12"/>
    </row>
    <row r="17" spans="2:9" x14ac:dyDescent="0.25">
      <c r="B17" s="18" t="s">
        <v>65</v>
      </c>
      <c r="C17" s="29">
        <f>'FLUJO DE FONDOS PROTOTIPO '!C14/1000000</f>
        <v>24</v>
      </c>
      <c r="D17" s="29">
        <f>'FLUJO DE FONDOS PROTOTIPO '!D14/1000000</f>
        <v>24</v>
      </c>
      <c r="E17" s="29">
        <f>'FLUJO DE FONDOS PROTOTIPO '!E14/1000000</f>
        <v>24</v>
      </c>
      <c r="F17" s="29">
        <f>'FLUJO DE FONDOS PROTOTIPO '!F14/1000000</f>
        <v>24</v>
      </c>
      <c r="G17" s="29">
        <f>'FLUJO DE FONDOS PROTOTIPO '!G14/1000000</f>
        <v>24</v>
      </c>
      <c r="H17" s="15">
        <f>G17</f>
        <v>24</v>
      </c>
      <c r="I17" s="15">
        <f>H17</f>
        <v>24</v>
      </c>
    </row>
    <row r="18" spans="2:9" x14ac:dyDescent="0.25">
      <c r="B18" s="18" t="s">
        <v>68</v>
      </c>
      <c r="C18" s="29">
        <f>(('FLUJO DE FONDOS PROTOTIPO '!$B$30)/1000000)/3</f>
        <v>0.64749999999999996</v>
      </c>
      <c r="D18" s="29">
        <f>C18</f>
        <v>0.64749999999999996</v>
      </c>
      <c r="E18" s="29">
        <f t="shared" ref="E18:I18" si="1">D18</f>
        <v>0.64749999999999996</v>
      </c>
      <c r="F18" s="29">
        <f t="shared" si="1"/>
        <v>0.64749999999999996</v>
      </c>
      <c r="G18" s="29">
        <f t="shared" si="1"/>
        <v>0.64749999999999996</v>
      </c>
      <c r="H18" s="29">
        <f t="shared" si="1"/>
        <v>0.64749999999999996</v>
      </c>
      <c r="I18" s="29">
        <f t="shared" si="1"/>
        <v>0.64749999999999996</v>
      </c>
    </row>
    <row r="19" spans="2:9" x14ac:dyDescent="0.25">
      <c r="B19" s="18" t="s">
        <v>69</v>
      </c>
      <c r="C19" s="29">
        <v>1</v>
      </c>
      <c r="D19" s="29">
        <v>1.5</v>
      </c>
      <c r="E19" s="29">
        <v>1.5</v>
      </c>
      <c r="F19" s="29">
        <v>1.5</v>
      </c>
      <c r="G19" s="29">
        <v>1.5</v>
      </c>
      <c r="H19" s="29">
        <v>1.5</v>
      </c>
      <c r="I19" s="29">
        <v>1.5</v>
      </c>
    </row>
    <row r="20" spans="2:9" s="13" customFormat="1" x14ac:dyDescent="0.25">
      <c r="B20" s="18" t="s">
        <v>95</v>
      </c>
      <c r="C20" s="29">
        <v>0.5</v>
      </c>
      <c r="D20" s="29">
        <v>0.5</v>
      </c>
      <c r="E20" s="29">
        <v>0.5</v>
      </c>
      <c r="F20" s="29">
        <v>0.5</v>
      </c>
      <c r="G20" s="29">
        <v>0.5</v>
      </c>
      <c r="H20" s="29">
        <v>0.5</v>
      </c>
      <c r="I20" s="29">
        <v>0.5</v>
      </c>
    </row>
    <row r="21" spans="2:9" x14ac:dyDescent="0.25">
      <c r="B21" s="18" t="s">
        <v>70</v>
      </c>
      <c r="C21" s="33">
        <f t="shared" ref="C21:I21" si="2">SUM(C14:C19)*10%</f>
        <v>4.2647500000000003</v>
      </c>
      <c r="D21" s="33">
        <f t="shared" si="2"/>
        <v>4.3147500000000001</v>
      </c>
      <c r="E21" s="33">
        <f t="shared" si="2"/>
        <v>4.3147500000000001</v>
      </c>
      <c r="F21" s="33">
        <f t="shared" si="2"/>
        <v>3.8147500000000001</v>
      </c>
      <c r="G21" s="33">
        <f t="shared" si="2"/>
        <v>3.8147500000000001</v>
      </c>
      <c r="H21" s="33">
        <f t="shared" si="2"/>
        <v>3.8147500000000001</v>
      </c>
      <c r="I21" s="33">
        <f t="shared" si="2"/>
        <v>3.8147500000000001</v>
      </c>
    </row>
    <row r="22" spans="2:9" ht="15.75" thickBot="1" x14ac:dyDescent="0.3">
      <c r="B22" s="10" t="s">
        <v>89</v>
      </c>
      <c r="C22" s="19">
        <f>SUM(C14:C21)</f>
        <v>47.41225</v>
      </c>
      <c r="D22" s="19">
        <f t="shared" ref="D22:I22" si="3">SUM(D14:D21)</f>
        <v>47.962249999999997</v>
      </c>
      <c r="E22" s="19">
        <f t="shared" si="3"/>
        <v>47.962249999999997</v>
      </c>
      <c r="F22" s="19">
        <f t="shared" si="3"/>
        <v>42.462249999999997</v>
      </c>
      <c r="G22" s="19">
        <f t="shared" si="3"/>
        <v>42.462249999999997</v>
      </c>
      <c r="H22" s="19">
        <f t="shared" si="3"/>
        <v>42.462249999999997</v>
      </c>
      <c r="I22" s="19">
        <f t="shared" si="3"/>
        <v>42.462249999999997</v>
      </c>
    </row>
    <row r="23" spans="2:9" ht="15.75" thickTop="1" x14ac:dyDescent="0.25">
      <c r="B23" s="10" t="s">
        <v>60</v>
      </c>
      <c r="C23" s="15">
        <f t="shared" ref="C23:I23" si="4">C10-C22</f>
        <v>117.81199015999991</v>
      </c>
      <c r="D23" s="15">
        <f t="shared" si="4"/>
        <v>132.20750923199995</v>
      </c>
      <c r="E23" s="15">
        <f t="shared" si="4"/>
        <v>148.1008334695199</v>
      </c>
      <c r="F23" s="15">
        <f t="shared" si="4"/>
        <v>170.49536900719357</v>
      </c>
      <c r="G23" s="15">
        <f t="shared" si="4"/>
        <v>188.44737276267682</v>
      </c>
      <c r="H23" s="15">
        <f t="shared" si="4"/>
        <v>207.5161003900879</v>
      </c>
      <c r="I23" s="15">
        <f t="shared" si="4"/>
        <v>227.76396179354782</v>
      </c>
    </row>
    <row r="24" spans="2:9" ht="15.75" thickBot="1" x14ac:dyDescent="0.3">
      <c r="B24" s="10" t="s">
        <v>82</v>
      </c>
      <c r="C24" s="16">
        <f t="shared" ref="C24:I24" si="5">IF(C23&lt;0,0,C23*$C$42)</f>
        <v>38.877956752799975</v>
      </c>
      <c r="D24" s="16">
        <f t="shared" si="5"/>
        <v>43.628478046559984</v>
      </c>
      <c r="E24" s="16">
        <f t="shared" si="5"/>
        <v>48.873275044941572</v>
      </c>
      <c r="F24" s="16">
        <f t="shared" si="5"/>
        <v>56.263471772373883</v>
      </c>
      <c r="G24" s="16">
        <f t="shared" si="5"/>
        <v>62.187633011683353</v>
      </c>
      <c r="H24" s="16">
        <f t="shared" si="5"/>
        <v>68.480313128729009</v>
      </c>
      <c r="I24" s="16">
        <f t="shared" si="5"/>
        <v>75.162107391870791</v>
      </c>
    </row>
    <row r="25" spans="2:9" ht="15.75" thickTop="1" x14ac:dyDescent="0.25">
      <c r="B25" s="10" t="s">
        <v>83</v>
      </c>
      <c r="C25" s="15">
        <f>C23-C24</f>
        <v>78.934033407199934</v>
      </c>
      <c r="D25" s="15">
        <f t="shared" ref="D25:I25" si="6">D23-D24</f>
        <v>88.579031185439959</v>
      </c>
      <c r="E25" s="15">
        <f t="shared" si="6"/>
        <v>99.227558424578319</v>
      </c>
      <c r="F25" s="15">
        <f t="shared" si="6"/>
        <v>114.23189723481968</v>
      </c>
      <c r="G25" s="15">
        <f t="shared" si="6"/>
        <v>126.25973975099348</v>
      </c>
      <c r="H25" s="15">
        <f t="shared" si="6"/>
        <v>139.03578726135891</v>
      </c>
      <c r="I25" s="15">
        <f t="shared" si="6"/>
        <v>152.60185440167703</v>
      </c>
    </row>
    <row r="26" spans="2:9" x14ac:dyDescent="0.25">
      <c r="B26" s="10"/>
      <c r="C26" s="15"/>
      <c r="D26" s="15"/>
      <c r="E26" s="15"/>
      <c r="F26" s="15"/>
      <c r="G26" s="15"/>
      <c r="H26" s="15"/>
      <c r="I26" s="15"/>
    </row>
    <row r="27" spans="2:9" x14ac:dyDescent="0.25">
      <c r="B27" s="11" t="s">
        <v>84</v>
      </c>
      <c r="C27" s="15"/>
      <c r="D27" s="15"/>
      <c r="E27" s="15"/>
      <c r="F27" s="15"/>
      <c r="G27" s="15"/>
      <c r="H27" s="15"/>
      <c r="I27" s="15"/>
    </row>
    <row r="28" spans="2:9" x14ac:dyDescent="0.25">
      <c r="B28" s="10"/>
      <c r="C28" s="14">
        <v>2013</v>
      </c>
      <c r="D28" s="14">
        <v>2014</v>
      </c>
      <c r="E28" s="14">
        <v>2015</v>
      </c>
      <c r="F28" s="14">
        <v>2016</v>
      </c>
      <c r="G28" s="14">
        <v>2017</v>
      </c>
      <c r="H28" s="14">
        <v>2018</v>
      </c>
      <c r="I28" s="14">
        <v>2019</v>
      </c>
    </row>
    <row r="29" spans="2:9" x14ac:dyDescent="0.25">
      <c r="B29" s="10" t="s">
        <v>60</v>
      </c>
      <c r="C29" s="15">
        <f>C23</f>
        <v>117.81199015999991</v>
      </c>
      <c r="D29" s="15">
        <f t="shared" ref="D29:I29" si="7">D23</f>
        <v>132.20750923199995</v>
      </c>
      <c r="E29" s="15">
        <f t="shared" si="7"/>
        <v>148.1008334695199</v>
      </c>
      <c r="F29" s="15">
        <f t="shared" si="7"/>
        <v>170.49536900719357</v>
      </c>
      <c r="G29" s="15">
        <f t="shared" si="7"/>
        <v>188.44737276267682</v>
      </c>
      <c r="H29" s="15">
        <f t="shared" si="7"/>
        <v>207.5161003900879</v>
      </c>
      <c r="I29" s="15">
        <f t="shared" si="7"/>
        <v>227.76396179354782</v>
      </c>
    </row>
    <row r="30" spans="2:9" x14ac:dyDescent="0.25">
      <c r="B30" s="10" t="s">
        <v>85</v>
      </c>
      <c r="C30" s="15">
        <f>C18</f>
        <v>0.64749999999999996</v>
      </c>
      <c r="D30" s="15">
        <f t="shared" ref="D30:I30" si="8">D18</f>
        <v>0.64749999999999996</v>
      </c>
      <c r="E30" s="15">
        <f t="shared" si="8"/>
        <v>0.64749999999999996</v>
      </c>
      <c r="F30" s="15">
        <f t="shared" si="8"/>
        <v>0.64749999999999996</v>
      </c>
      <c r="G30" s="15">
        <f t="shared" si="8"/>
        <v>0.64749999999999996</v>
      </c>
      <c r="H30" s="15">
        <f t="shared" si="8"/>
        <v>0.64749999999999996</v>
      </c>
      <c r="I30" s="15">
        <f t="shared" si="8"/>
        <v>0.64749999999999996</v>
      </c>
    </row>
    <row r="31" spans="2:9" x14ac:dyDescent="0.25">
      <c r="B31" s="10" t="s">
        <v>86</v>
      </c>
      <c r="C31" s="31">
        <v>350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2:9" ht="15.75" thickBot="1" x14ac:dyDescent="0.3">
      <c r="B32" s="10" t="s">
        <v>72</v>
      </c>
      <c r="C32" s="32">
        <v>10</v>
      </c>
      <c r="D32" s="32">
        <v>0</v>
      </c>
      <c r="E32" s="32">
        <v>0</v>
      </c>
      <c r="F32" s="32">
        <v>10</v>
      </c>
      <c r="G32" s="32">
        <v>0</v>
      </c>
      <c r="H32" s="32">
        <v>0</v>
      </c>
      <c r="I32" s="32">
        <v>10</v>
      </c>
    </row>
    <row r="33" spans="2:9" ht="15.75" thickTop="1" x14ac:dyDescent="0.25">
      <c r="B33" s="10" t="s">
        <v>73</v>
      </c>
      <c r="C33" s="17">
        <f>C29+C30-C31-C32</f>
        <v>-241.54050984000008</v>
      </c>
      <c r="D33" s="17">
        <f t="shared" ref="D33:I33" si="9">D29+D30-D31-D32</f>
        <v>132.85500923199996</v>
      </c>
      <c r="E33" s="17">
        <f t="shared" si="9"/>
        <v>148.74833346951991</v>
      </c>
      <c r="F33" s="17">
        <f t="shared" si="9"/>
        <v>161.14286900719358</v>
      </c>
      <c r="G33" s="17">
        <f t="shared" si="9"/>
        <v>189.09487276267683</v>
      </c>
      <c r="H33" s="17">
        <f t="shared" si="9"/>
        <v>208.16360039008791</v>
      </c>
      <c r="I33" s="17">
        <f t="shared" si="9"/>
        <v>218.41146179354783</v>
      </c>
    </row>
    <row r="34" spans="2:9" x14ac:dyDescent="0.25">
      <c r="B34" s="21"/>
      <c r="C34" s="17"/>
      <c r="D34" s="17"/>
      <c r="E34" s="17"/>
      <c r="F34" s="17"/>
      <c r="G34" s="17"/>
      <c r="H34" s="17"/>
      <c r="I34" s="17"/>
    </row>
    <row r="35" spans="2:9" x14ac:dyDescent="0.25">
      <c r="B35" s="10" t="s">
        <v>74</v>
      </c>
      <c r="C35" s="22">
        <f>C33*C49</f>
        <v>-241.54050984000008</v>
      </c>
      <c r="D35" s="22">
        <f t="shared" ref="D35:H35" si="10">D33*D49</f>
        <v>78.150005430588209</v>
      </c>
      <c r="E35" s="22">
        <f t="shared" si="10"/>
        <v>51.470011581148761</v>
      </c>
      <c r="F35" s="22">
        <f t="shared" si="10"/>
        <v>32.799281295988926</v>
      </c>
      <c r="G35" s="22">
        <f t="shared" si="10"/>
        <v>22.640398553977668</v>
      </c>
      <c r="H35" s="22">
        <f t="shared" si="10"/>
        <v>14.660884891231154</v>
      </c>
      <c r="I35" s="12"/>
    </row>
    <row r="36" spans="2:9" x14ac:dyDescent="0.25">
      <c r="B36" s="12"/>
      <c r="C36" s="23"/>
      <c r="D36" s="23"/>
      <c r="E36" s="23"/>
      <c r="F36" s="23"/>
      <c r="G36" s="23"/>
      <c r="H36" s="28" t="s">
        <v>81</v>
      </c>
      <c r="I36" s="22">
        <f>I33/(C45-C44)</f>
        <v>1213.3970099641544</v>
      </c>
    </row>
    <row r="37" spans="2:9" x14ac:dyDescent="0.25">
      <c r="B37" s="10" t="s">
        <v>80</v>
      </c>
      <c r="C37" s="17">
        <f>SUM(C35:H35)</f>
        <v>-41.819928087065378</v>
      </c>
      <c r="D37" s="23"/>
      <c r="E37" s="23"/>
      <c r="F37" s="23"/>
      <c r="G37" s="23"/>
      <c r="H37" s="23"/>
      <c r="I37" s="17"/>
    </row>
    <row r="38" spans="2:9" ht="15.75" thickBot="1" x14ac:dyDescent="0.3">
      <c r="B38" s="10" t="s">
        <v>76</v>
      </c>
      <c r="C38" s="20">
        <f>I36/(1+C45)^H48</f>
        <v>487.63704425642783</v>
      </c>
      <c r="D38" s="23"/>
      <c r="E38" s="23"/>
      <c r="F38" s="23"/>
      <c r="G38" s="23"/>
      <c r="H38" s="23"/>
      <c r="I38" s="17"/>
    </row>
    <row r="39" spans="2:9" ht="15.75" thickTop="1" x14ac:dyDescent="0.25">
      <c r="B39" s="10" t="s">
        <v>75</v>
      </c>
      <c r="C39" s="17">
        <f>SUM(C37:C38)</f>
        <v>445.81711616936246</v>
      </c>
      <c r="D39" s="17"/>
      <c r="E39" s="17"/>
      <c r="F39" s="17"/>
      <c r="G39" s="17"/>
      <c r="H39" s="17"/>
      <c r="I39" s="17"/>
    </row>
    <row r="40" spans="2:9" x14ac:dyDescent="0.25">
      <c r="B40" s="21"/>
      <c r="C40" s="17"/>
      <c r="D40" s="17"/>
      <c r="E40" s="17"/>
      <c r="F40" s="17"/>
      <c r="G40" s="17"/>
      <c r="H40" s="17"/>
      <c r="I40" s="17"/>
    </row>
    <row r="41" spans="2:9" x14ac:dyDescent="0.25">
      <c r="B41" s="10" t="s">
        <v>87</v>
      </c>
      <c r="C41" s="17"/>
      <c r="D41" s="17"/>
      <c r="E41" s="17"/>
      <c r="F41" s="17"/>
      <c r="G41" s="17"/>
      <c r="H41" s="17"/>
      <c r="I41" s="17"/>
    </row>
    <row r="42" spans="2:9" s="13" customFormat="1" x14ac:dyDescent="0.25">
      <c r="B42" s="34" t="s">
        <v>88</v>
      </c>
      <c r="C42" s="35">
        <v>0.33</v>
      </c>
      <c r="D42" s="17"/>
      <c r="E42" s="17"/>
      <c r="F42" s="17"/>
      <c r="G42" s="17"/>
      <c r="H42" s="17"/>
      <c r="I42" s="17"/>
    </row>
    <row r="43" spans="2:9" x14ac:dyDescent="0.25">
      <c r="B43" s="12" t="s">
        <v>77</v>
      </c>
      <c r="C43" s="36">
        <v>0.7</v>
      </c>
      <c r="D43" s="17"/>
      <c r="E43" s="17"/>
      <c r="F43" s="17"/>
      <c r="G43" s="17"/>
      <c r="H43" s="17"/>
      <c r="I43" s="17"/>
    </row>
    <row r="44" spans="2:9" x14ac:dyDescent="0.25">
      <c r="B44" s="12" t="s">
        <v>78</v>
      </c>
      <c r="C44" s="36">
        <v>0.02</v>
      </c>
      <c r="D44" s="17"/>
      <c r="E44" s="17"/>
      <c r="F44" s="17"/>
      <c r="G44" s="17"/>
      <c r="H44" s="17"/>
      <c r="I44" s="17"/>
    </row>
    <row r="45" spans="2:9" ht="15.75" thickBot="1" x14ac:dyDescent="0.3">
      <c r="B45" s="24" t="s">
        <v>90</v>
      </c>
      <c r="C45" s="37">
        <v>0.2</v>
      </c>
      <c r="D45" s="25"/>
      <c r="E45" s="25"/>
      <c r="F45" s="25"/>
      <c r="G45" s="25"/>
      <c r="H45" s="25"/>
      <c r="I45" s="25"/>
    </row>
    <row r="47" spans="2:9" x14ac:dyDescent="0.25">
      <c r="B47" s="11" t="s">
        <v>79</v>
      </c>
      <c r="C47" s="12"/>
      <c r="D47" s="12"/>
      <c r="E47" s="12"/>
      <c r="F47" s="12"/>
      <c r="G47" s="12"/>
      <c r="H47" s="12"/>
      <c r="I47" s="12"/>
    </row>
    <row r="48" spans="2:9" x14ac:dyDescent="0.25">
      <c r="B48" s="12" t="s">
        <v>91</v>
      </c>
      <c r="C48" s="14">
        <v>0</v>
      </c>
      <c r="D48" s="14">
        <v>1</v>
      </c>
      <c r="E48" s="14">
        <v>2</v>
      </c>
      <c r="F48" s="14">
        <v>3</v>
      </c>
      <c r="G48" s="14">
        <v>4</v>
      </c>
      <c r="H48" s="14">
        <v>5</v>
      </c>
      <c r="I48" s="14"/>
    </row>
    <row r="49" spans="2:9" x14ac:dyDescent="0.25">
      <c r="B49" s="12" t="s">
        <v>58</v>
      </c>
      <c r="C49" s="27">
        <f>1/(1+$C$43)^C48</f>
        <v>1</v>
      </c>
      <c r="D49" s="27">
        <f t="shared" ref="D49:H49" si="11">1/(1+$C$43)^D48</f>
        <v>0.58823529411764708</v>
      </c>
      <c r="E49" s="27">
        <f t="shared" si="11"/>
        <v>0.34602076124567477</v>
      </c>
      <c r="F49" s="27">
        <f t="shared" si="11"/>
        <v>0.20354162426216163</v>
      </c>
      <c r="G49" s="27">
        <f t="shared" si="11"/>
        <v>0.11973036721303627</v>
      </c>
      <c r="H49" s="27">
        <f t="shared" si="11"/>
        <v>7.042962777237427E-2</v>
      </c>
      <c r="I49" s="17"/>
    </row>
    <row r="50" spans="2:9" x14ac:dyDescent="0.25">
      <c r="B50" s="21"/>
      <c r="C50" s="26"/>
      <c r="D50" s="12"/>
      <c r="E50" s="12"/>
      <c r="F50" s="12"/>
      <c r="G50" s="12"/>
      <c r="H50" s="12"/>
      <c r="I50" s="12"/>
    </row>
    <row r="65" spans="4:4" x14ac:dyDescent="0.25">
      <c r="D65" s="48">
        <v>41</v>
      </c>
    </row>
  </sheetData>
  <pageMargins left="0.7" right="0.7" top="0.75" bottom="0.75" header="0.3" footer="0.3"/>
  <pageSetup orientation="landscape" r:id="rId1"/>
  <headerFooter>
    <oddFooter>&amp;C&amp;"arial unicode ms western,Regular"&amp;6 Liberty Seguros - Documento con información Interna</oddFooter>
    <evenFooter>&amp;C&amp;"arial unicode ms western,Regular"&amp;6 Liberty Seguros - Documento con información Interna</evenFooter>
    <firstFooter>&amp;C&amp;"arial unicode ms western,Regular"&amp;6 Liberty Seguros - Documento con información Interna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CF Y CV ANO</vt:lpstr>
      <vt:lpstr>INGRESOS </vt:lpstr>
      <vt:lpstr>COSTOS </vt:lpstr>
      <vt:lpstr>FLUJO DE FONDOS PROTOTIPO </vt:lpstr>
      <vt:lpstr>Valor de la Firma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</dc:creator>
  <cp:keywords>Liberty Seguros Informacion Interna</cp:keywords>
  <cp:lastModifiedBy>Arevalo Segura, Angela (Colombia)</cp:lastModifiedBy>
  <dcterms:created xsi:type="dcterms:W3CDTF">2013-05-10T01:42:48Z</dcterms:created>
  <dcterms:modified xsi:type="dcterms:W3CDTF">2013-12-02T23:49:18Z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6c7397a3-2b5e-4f3c-8ffe-2854a8dd424b</vt:lpwstr>
  </property>
  <property fmtid="{D5CDD505-2E9C-101B-9397-08002B2CF9AE}" pid="3" name="LIBERTYCOLOMBIA">
    <vt:lpwstr>Liberty Seguros Informacion Interna</vt:lpwstr>
  </property>
  <property fmtid="{D5CDD505-2E9C-101B-9397-08002B2CF9AE}" pid="4" name="LIBERTY">
    <vt:lpwstr>interna</vt:lpwstr>
  </property>
</Properties>
</file>