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5600" windowHeight="8325" tabRatio="691" activeTab="10"/>
  </bookViews>
  <sheets>
    <sheet name="EEFF" sheetId="20" r:id="rId1"/>
    <sheet name="FLUJO CAJA" sheetId="23" state="hidden" r:id="rId2"/>
    <sheet name="FLUJO CAJA LIBRE" sheetId="25" r:id="rId3"/>
    <sheet name="RAZONES FIN." sheetId="28" r:id="rId4"/>
    <sheet name="VALOR RES." sheetId="29" r:id="rId5"/>
    <sheet name="WACC" sheetId="30" r:id="rId6"/>
    <sheet name="INGRESOS " sheetId="1" r:id="rId7"/>
    <sheet name="NOMINA" sheetId="2" r:id="rId8"/>
    <sheet name="NOMINA (2)" sheetId="19" state="hidden" r:id="rId9"/>
    <sheet name="NOMINA (3)" sheetId="27" state="hidden" r:id="rId10"/>
    <sheet name="VEHICULOS " sheetId="3" r:id="rId11"/>
    <sheet name="ADMINISTRATIVOS" sheetId="24" r:id="rId12"/>
    <sheet name="FINANCIACION" sheetId="22" r:id="rId13"/>
    <sheet name="PRECIO" sheetId="26" r:id="rId14"/>
  </sheets>
  <calcPr calcId="145621"/>
</workbook>
</file>

<file path=xl/calcChain.xml><?xml version="1.0" encoding="utf-8"?>
<calcChain xmlns="http://schemas.openxmlformats.org/spreadsheetml/2006/main">
  <c r="C8" i="30" l="1"/>
  <c r="C5" i="30"/>
  <c r="C9" i="30" s="1"/>
  <c r="D26" i="25" s="1"/>
  <c r="E9" i="29"/>
  <c r="F9" i="29" s="1"/>
  <c r="E8" i="29"/>
  <c r="E7" i="29"/>
  <c r="F7" i="29" s="1"/>
  <c r="G7" i="29" s="1"/>
  <c r="E6" i="29"/>
  <c r="F6" i="29" s="1"/>
  <c r="G6" i="29" s="1"/>
  <c r="F5" i="29"/>
  <c r="G5" i="29" s="1"/>
  <c r="F8" i="29"/>
  <c r="F4" i="29"/>
  <c r="F10" i="29" s="1"/>
  <c r="G10" i="29" s="1"/>
  <c r="I15" i="25" s="1"/>
  <c r="C10" i="29"/>
  <c r="D10" i="29"/>
  <c r="E10" i="29" l="1"/>
  <c r="G4" i="29"/>
  <c r="P28" i="27" l="1"/>
  <c r="E27" i="27"/>
  <c r="F27" i="27" s="1"/>
  <c r="G27" i="27" s="1"/>
  <c r="E25" i="27"/>
  <c r="BP10" i="27"/>
  <c r="BC10" i="27"/>
  <c r="AP10" i="27"/>
  <c r="AC10" i="27"/>
  <c r="P10" i="27"/>
  <c r="BE8" i="27"/>
  <c r="AS8" i="27"/>
  <c r="AT8" i="27" s="1"/>
  <c r="AU8" i="27" s="1"/>
  <c r="AV8" i="27" s="1"/>
  <c r="AW8" i="27" s="1"/>
  <c r="AX8" i="27" s="1"/>
  <c r="AY8" i="27" s="1"/>
  <c r="AZ8" i="27" s="1"/>
  <c r="BA8" i="27" s="1"/>
  <c r="BB8" i="27" s="1"/>
  <c r="AR8" i="27"/>
  <c r="AF8" i="27"/>
  <c r="AE8" i="27"/>
  <c r="S8" i="27"/>
  <c r="T8" i="27" s="1"/>
  <c r="U8" i="27" s="1"/>
  <c r="V8" i="27" s="1"/>
  <c r="W8" i="27" s="1"/>
  <c r="X8" i="27" s="1"/>
  <c r="Y8" i="27" s="1"/>
  <c r="Z8" i="27" s="1"/>
  <c r="AA8" i="27" s="1"/>
  <c r="AB8" i="27" s="1"/>
  <c r="R8" i="27"/>
  <c r="F8" i="27"/>
  <c r="G8" i="27" s="1"/>
  <c r="H8" i="27" s="1"/>
  <c r="I8" i="27" s="1"/>
  <c r="J8" i="27" s="1"/>
  <c r="K8" i="27" s="1"/>
  <c r="L8" i="27" s="1"/>
  <c r="M8" i="27" s="1"/>
  <c r="N8" i="27" s="1"/>
  <c r="O8" i="27" s="1"/>
  <c r="P8" i="27" s="1"/>
  <c r="E8" i="27"/>
  <c r="BF7" i="27"/>
  <c r="BG7" i="27" s="1"/>
  <c r="BH7" i="27" s="1"/>
  <c r="BI7" i="27" s="1"/>
  <c r="BJ7" i="27" s="1"/>
  <c r="BK7" i="27" s="1"/>
  <c r="BL7" i="27" s="1"/>
  <c r="BM7" i="27" s="1"/>
  <c r="BN7" i="27" s="1"/>
  <c r="BO7" i="27" s="1"/>
  <c r="BE7" i="27"/>
  <c r="AR7" i="27"/>
  <c r="AS7" i="27" s="1"/>
  <c r="AT7" i="27" s="1"/>
  <c r="AU7" i="27" s="1"/>
  <c r="AV7" i="27" s="1"/>
  <c r="AW7" i="27" s="1"/>
  <c r="AX7" i="27" s="1"/>
  <c r="AY7" i="27" s="1"/>
  <c r="AZ7" i="27" s="1"/>
  <c r="BA7" i="27" s="1"/>
  <c r="BB7" i="27" s="1"/>
  <c r="AF7" i="27"/>
  <c r="AG7" i="27" s="1"/>
  <c r="AH7" i="27" s="1"/>
  <c r="AI7" i="27" s="1"/>
  <c r="AJ7" i="27" s="1"/>
  <c r="AK7" i="27" s="1"/>
  <c r="AL7" i="27" s="1"/>
  <c r="AM7" i="27" s="1"/>
  <c r="AN7" i="27" s="1"/>
  <c r="AO7" i="27" s="1"/>
  <c r="AE7" i="27"/>
  <c r="R7" i="27"/>
  <c r="S7" i="27" s="1"/>
  <c r="T7" i="27" s="1"/>
  <c r="U7" i="27" s="1"/>
  <c r="V7" i="27" s="1"/>
  <c r="W7" i="27" s="1"/>
  <c r="X7" i="27" s="1"/>
  <c r="Y7" i="27" s="1"/>
  <c r="Z7" i="27" s="1"/>
  <c r="AA7" i="27" s="1"/>
  <c r="AB7" i="27" s="1"/>
  <c r="F7" i="27"/>
  <c r="G7" i="27" s="1"/>
  <c r="H7" i="27" s="1"/>
  <c r="I7" i="27" s="1"/>
  <c r="J7" i="27" s="1"/>
  <c r="K7" i="27" s="1"/>
  <c r="L7" i="27" s="1"/>
  <c r="M7" i="27" s="1"/>
  <c r="N7" i="27" s="1"/>
  <c r="O7" i="27" s="1"/>
  <c r="P7" i="27" s="1"/>
  <c r="E7" i="27"/>
  <c r="BE6" i="27"/>
  <c r="BF6" i="27" s="1"/>
  <c r="BG6" i="27" s="1"/>
  <c r="AS6" i="27"/>
  <c r="AT6" i="27" s="1"/>
  <c r="AR6" i="27"/>
  <c r="AE6" i="27"/>
  <c r="AF6" i="27" s="1"/>
  <c r="AG6" i="27" s="1"/>
  <c r="S6" i="27"/>
  <c r="T6" i="27" s="1"/>
  <c r="R6" i="27"/>
  <c r="E6" i="27"/>
  <c r="F6" i="27" s="1"/>
  <c r="G6" i="27" s="1"/>
  <c r="BF5" i="27"/>
  <c r="BG5" i="27" s="1"/>
  <c r="BE5" i="27"/>
  <c r="AR5" i="27"/>
  <c r="AF5" i="27"/>
  <c r="AG5" i="27" s="1"/>
  <c r="AE5" i="27"/>
  <c r="R5" i="27"/>
  <c r="F5" i="27"/>
  <c r="G5" i="27" s="1"/>
  <c r="E5" i="27"/>
  <c r="F4" i="27"/>
  <c r="G4" i="27" s="1"/>
  <c r="H4" i="27" s="1"/>
  <c r="I4" i="27" s="1"/>
  <c r="J4" i="27" s="1"/>
  <c r="K4" i="27" s="1"/>
  <c r="L4" i="27" s="1"/>
  <c r="M4" i="27" s="1"/>
  <c r="N4" i="27" s="1"/>
  <c r="O4" i="27" s="1"/>
  <c r="Q4" i="27" s="1"/>
  <c r="R4" i="27" s="1"/>
  <c r="S4" i="27" s="1"/>
  <c r="T4" i="27" s="1"/>
  <c r="U4" i="27" s="1"/>
  <c r="V4" i="27" s="1"/>
  <c r="W4" i="27" s="1"/>
  <c r="X4" i="27" s="1"/>
  <c r="Y4" i="27" s="1"/>
  <c r="Z4" i="27" s="1"/>
  <c r="AA4" i="27" s="1"/>
  <c r="AB4" i="27" s="1"/>
  <c r="AD4" i="27" s="1"/>
  <c r="AE4" i="27" s="1"/>
  <c r="AF4" i="27" s="1"/>
  <c r="AG4" i="27" s="1"/>
  <c r="AH4" i="27" s="1"/>
  <c r="AI4" i="27" s="1"/>
  <c r="AJ4" i="27" s="1"/>
  <c r="AK4" i="27" s="1"/>
  <c r="AL4" i="27" s="1"/>
  <c r="AM4" i="27" s="1"/>
  <c r="AN4" i="27" s="1"/>
  <c r="AO4" i="27" s="1"/>
  <c r="AQ4" i="27" s="1"/>
  <c r="AR4" i="27" s="1"/>
  <c r="AS4" i="27" s="1"/>
  <c r="AT4" i="27" s="1"/>
  <c r="AU4" i="27" s="1"/>
  <c r="AV4" i="27" s="1"/>
  <c r="AW4" i="27" s="1"/>
  <c r="AX4" i="27" s="1"/>
  <c r="AY4" i="27" s="1"/>
  <c r="AZ4" i="27" s="1"/>
  <c r="BA4" i="27" s="1"/>
  <c r="BB4" i="27" s="1"/>
  <c r="BD4" i="27" s="1"/>
  <c r="BE4" i="27" s="1"/>
  <c r="BF4" i="27" s="1"/>
  <c r="BG4" i="27" s="1"/>
  <c r="BH4" i="27" s="1"/>
  <c r="BI4" i="27" s="1"/>
  <c r="BJ4" i="27" s="1"/>
  <c r="BK4" i="27" s="1"/>
  <c r="BL4" i="27" s="1"/>
  <c r="BM4" i="27" s="1"/>
  <c r="BN4" i="27" s="1"/>
  <c r="BO4" i="27" s="1"/>
  <c r="E4" i="27"/>
  <c r="S5" i="27" l="1"/>
  <c r="BP7" i="27"/>
  <c r="AS5" i="27"/>
  <c r="AC8" i="27"/>
  <c r="H5" i="27"/>
  <c r="AH5" i="27"/>
  <c r="BH5" i="27"/>
  <c r="U6" i="27"/>
  <c r="V6" i="27" s="1"/>
  <c r="W6" i="27" s="1"/>
  <c r="X6" i="27" s="1"/>
  <c r="Y6" i="27" s="1"/>
  <c r="Z6" i="27" s="1"/>
  <c r="AA6" i="27" s="1"/>
  <c r="AB6" i="27" s="1"/>
  <c r="AH6" i="27"/>
  <c r="AI6" i="27" s="1"/>
  <c r="AJ6" i="27" s="1"/>
  <c r="AK6" i="27" s="1"/>
  <c r="AL6" i="27" s="1"/>
  <c r="AM6" i="27" s="1"/>
  <c r="AN6" i="27" s="1"/>
  <c r="AO6" i="27" s="1"/>
  <c r="AU6" i="27"/>
  <c r="AV6" i="27" s="1"/>
  <c r="AW6" i="27" s="1"/>
  <c r="AX6" i="27" s="1"/>
  <c r="AY6" i="27" s="1"/>
  <c r="AZ6" i="27" s="1"/>
  <c r="BA6" i="27" s="1"/>
  <c r="BB6" i="27" s="1"/>
  <c r="BH6" i="27"/>
  <c r="BI6" i="27" s="1"/>
  <c r="BJ6" i="27" s="1"/>
  <c r="BK6" i="27" s="1"/>
  <c r="BL6" i="27" s="1"/>
  <c r="BM6" i="27" s="1"/>
  <c r="BN6" i="27" s="1"/>
  <c r="BO6" i="27" s="1"/>
  <c r="AC7" i="27"/>
  <c r="AP7" i="27"/>
  <c r="AG8" i="27"/>
  <c r="AH8" i="27" s="1"/>
  <c r="AI8" i="27" s="1"/>
  <c r="AJ8" i="27" s="1"/>
  <c r="AK8" i="27" s="1"/>
  <c r="AL8" i="27" s="1"/>
  <c r="AM8" i="27" s="1"/>
  <c r="AN8" i="27" s="1"/>
  <c r="AO8" i="27" s="1"/>
  <c r="H27" i="27"/>
  <c r="I27" i="27" s="1"/>
  <c r="J27" i="27" s="1"/>
  <c r="BF8" i="27"/>
  <c r="BG8" i="27" s="1"/>
  <c r="BH8" i="27" s="1"/>
  <c r="BI8" i="27" s="1"/>
  <c r="BJ8" i="27" s="1"/>
  <c r="BK8" i="27" s="1"/>
  <c r="BL8" i="27" s="1"/>
  <c r="BM8" i="27" s="1"/>
  <c r="BN8" i="27" s="1"/>
  <c r="BO8" i="27" s="1"/>
  <c r="BC7" i="27"/>
  <c r="H6" i="27"/>
  <c r="I6" i="27" s="1"/>
  <c r="J6" i="27" s="1"/>
  <c r="K6" i="27" s="1"/>
  <c r="L6" i="27" s="1"/>
  <c r="M6" i="27" s="1"/>
  <c r="N6" i="27" s="1"/>
  <c r="O6" i="27" s="1"/>
  <c r="P6" i="27" s="1"/>
  <c r="F25" i="27"/>
  <c r="BC8" i="27"/>
  <c r="BO11" i="24"/>
  <c r="BB11" i="24"/>
  <c r="AO11" i="24"/>
  <c r="AT5" i="27" l="1"/>
  <c r="AC6" i="27"/>
  <c r="T5" i="27"/>
  <c r="AP8" i="27"/>
  <c r="BI5" i="27"/>
  <c r="BC6" i="27"/>
  <c r="K27" i="27"/>
  <c r="I5" i="27"/>
  <c r="BP6" i="27"/>
  <c r="AP6" i="27"/>
  <c r="G25" i="27"/>
  <c r="AI5" i="27"/>
  <c r="BP8" i="27"/>
  <c r="P22" i="23"/>
  <c r="U5" i="27" l="1"/>
  <c r="AU5" i="27"/>
  <c r="AJ5" i="27"/>
  <c r="H25" i="27"/>
  <c r="J5" i="27"/>
  <c r="BJ5" i="27"/>
  <c r="L27" i="27"/>
  <c r="M27" i="27" s="1"/>
  <c r="BP79" i="20"/>
  <c r="BP61" i="20"/>
  <c r="BP49" i="20"/>
  <c r="BP48" i="20"/>
  <c r="BP47" i="20"/>
  <c r="BP46" i="20"/>
  <c r="BP36" i="20"/>
  <c r="BP34" i="20"/>
  <c r="BP27" i="20"/>
  <c r="BP19" i="20"/>
  <c r="BP18" i="20"/>
  <c r="BP15" i="20"/>
  <c r="BP14" i="20"/>
  <c r="BP8" i="20"/>
  <c r="BP6" i="20"/>
  <c r="BC79" i="20"/>
  <c r="BC61" i="20"/>
  <c r="BC49" i="20"/>
  <c r="BC48" i="20"/>
  <c r="BC47" i="20"/>
  <c r="BC46" i="20"/>
  <c r="BC36" i="20"/>
  <c r="BC34" i="20"/>
  <c r="BC27" i="20"/>
  <c r="BC19" i="20"/>
  <c r="BC18" i="20"/>
  <c r="BC15" i="20"/>
  <c r="BC14" i="20"/>
  <c r="BC8" i="20"/>
  <c r="BC6" i="20"/>
  <c r="BP12" i="23"/>
  <c r="BP9" i="23"/>
  <c r="BP7" i="23"/>
  <c r="BC12" i="23"/>
  <c r="BC9" i="23"/>
  <c r="BC7" i="23"/>
  <c r="BC30" i="24"/>
  <c r="BD30" i="24" s="1"/>
  <c r="BE30" i="24" s="1"/>
  <c r="BO7" i="24"/>
  <c r="AP30" i="24"/>
  <c r="AQ30" i="24" s="1"/>
  <c r="AR30" i="24" s="1"/>
  <c r="BB7" i="24"/>
  <c r="BD67" i="3"/>
  <c r="BE67" i="3" s="1"/>
  <c r="BP58" i="3"/>
  <c r="BP7" i="3"/>
  <c r="AQ67" i="3"/>
  <c r="AR67" i="3" s="1"/>
  <c r="BC58" i="3"/>
  <c r="BC7" i="3"/>
  <c r="BP10" i="2"/>
  <c r="BE8" i="2"/>
  <c r="BE7" i="2"/>
  <c r="BE6" i="2"/>
  <c r="BE5" i="2"/>
  <c r="BC10" i="2"/>
  <c r="AR8" i="2"/>
  <c r="AR7" i="2"/>
  <c r="AR6" i="2"/>
  <c r="AR5" i="2"/>
  <c r="BS15" i="1"/>
  <c r="BS12" i="1"/>
  <c r="BS11" i="1"/>
  <c r="BF15" i="1"/>
  <c r="BF12" i="1"/>
  <c r="BF11" i="1"/>
  <c r="AV5" i="27" l="1"/>
  <c r="V5" i="27"/>
  <c r="BK5" i="27"/>
  <c r="N27" i="27"/>
  <c r="AK5" i="27"/>
  <c r="K5" i="27"/>
  <c r="I25" i="27"/>
  <c r="BF5" i="2"/>
  <c r="BF6" i="2"/>
  <c r="BG6" i="2" s="1"/>
  <c r="BH6" i="2" s="1"/>
  <c r="BI6" i="2" s="1"/>
  <c r="BJ6" i="2" s="1"/>
  <c r="BK6" i="2" s="1"/>
  <c r="BL6" i="2" s="1"/>
  <c r="BM6" i="2" s="1"/>
  <c r="BN6" i="2" s="1"/>
  <c r="BO6" i="2" s="1"/>
  <c r="BF7" i="2"/>
  <c r="BG7" i="2" s="1"/>
  <c r="BH7" i="2" s="1"/>
  <c r="BI7" i="2" s="1"/>
  <c r="BJ7" i="2" s="1"/>
  <c r="BK7" i="2" s="1"/>
  <c r="BL7" i="2" s="1"/>
  <c r="BM7" i="2" s="1"/>
  <c r="BN7" i="2" s="1"/>
  <c r="BO7" i="2" s="1"/>
  <c r="BF8" i="2"/>
  <c r="BG8" i="2" s="1"/>
  <c r="BH8" i="2" s="1"/>
  <c r="BI8" i="2" s="1"/>
  <c r="BJ8" i="2" s="1"/>
  <c r="BK8" i="2" s="1"/>
  <c r="BL8" i="2" s="1"/>
  <c r="BM8" i="2" s="1"/>
  <c r="BN8" i="2" s="1"/>
  <c r="BO8" i="2" s="1"/>
  <c r="AS5" i="2"/>
  <c r="AS6" i="2"/>
  <c r="AT6" i="2" s="1"/>
  <c r="AU6" i="2" s="1"/>
  <c r="AV6" i="2" s="1"/>
  <c r="AW6" i="2" s="1"/>
  <c r="AX6" i="2" s="1"/>
  <c r="AY6" i="2" s="1"/>
  <c r="AZ6" i="2" s="1"/>
  <c r="BA6" i="2" s="1"/>
  <c r="BB6" i="2" s="1"/>
  <c r="AS7" i="2"/>
  <c r="AT7" i="2" s="1"/>
  <c r="AU7" i="2" s="1"/>
  <c r="AV7" i="2" s="1"/>
  <c r="AW7" i="2" s="1"/>
  <c r="AX7" i="2" s="1"/>
  <c r="AY7" i="2" s="1"/>
  <c r="AZ7" i="2" s="1"/>
  <c r="BA7" i="2" s="1"/>
  <c r="BB7" i="2" s="1"/>
  <c r="AS8" i="2"/>
  <c r="AT8" i="2" s="1"/>
  <c r="AU8" i="2" s="1"/>
  <c r="AV8" i="2" s="1"/>
  <c r="AW8" i="2" s="1"/>
  <c r="AX8" i="2" s="1"/>
  <c r="AY8" i="2" s="1"/>
  <c r="AZ8" i="2" s="1"/>
  <c r="BA8" i="2" s="1"/>
  <c r="BB8" i="2" s="1"/>
  <c r="W5" i="27" l="1"/>
  <c r="AW5" i="27"/>
  <c r="AL5" i="27"/>
  <c r="O27" i="27"/>
  <c r="BL5" i="27"/>
  <c r="L5" i="27"/>
  <c r="J25" i="27"/>
  <c r="BC8" i="2"/>
  <c r="BG5" i="2"/>
  <c r="BP7" i="2"/>
  <c r="BP8" i="2"/>
  <c r="BP6" i="2"/>
  <c r="BC7" i="2"/>
  <c r="AT5" i="2"/>
  <c r="BC6" i="2"/>
  <c r="B30" i="23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Q27" i="27" l="1"/>
  <c r="P27" i="27"/>
  <c r="AX5" i="27"/>
  <c r="X5" i="27"/>
  <c r="BM5" i="27"/>
  <c r="R27" i="27"/>
  <c r="S27" i="27" s="1"/>
  <c r="T27" i="27" s="1"/>
  <c r="K25" i="27"/>
  <c r="M5" i="27"/>
  <c r="AM5" i="27"/>
  <c r="B65" i="23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H5" i="2"/>
  <c r="AU5" i="2"/>
  <c r="AO8" i="24"/>
  <c r="AO7" i="24"/>
  <c r="AB11" i="24"/>
  <c r="AB8" i="24"/>
  <c r="AB7" i="24"/>
  <c r="O11" i="24"/>
  <c r="O8" i="24"/>
  <c r="O7" i="24"/>
  <c r="AP7" i="3"/>
  <c r="AC68" i="3"/>
  <c r="AC35" i="3"/>
  <c r="AC28" i="3"/>
  <c r="AC13" i="3"/>
  <c r="AC10" i="3"/>
  <c r="AC7" i="3"/>
  <c r="E27" i="3"/>
  <c r="F27" i="3"/>
  <c r="G27" i="3" s="1"/>
  <c r="H27" i="3" s="1"/>
  <c r="I27" i="3" s="1"/>
  <c r="J27" i="3" s="1"/>
  <c r="K27" i="3" s="1"/>
  <c r="L27" i="3" s="1"/>
  <c r="M27" i="3" s="1"/>
  <c r="N27" i="3" s="1"/>
  <c r="O27" i="3" s="1"/>
  <c r="P28" i="3"/>
  <c r="E29" i="3"/>
  <c r="F29" i="3"/>
  <c r="E31" i="3"/>
  <c r="F31" i="3" s="1"/>
  <c r="G31" i="3" s="1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E34" i="3"/>
  <c r="F34" i="3" s="1"/>
  <c r="G34" i="3" s="1"/>
  <c r="P35" i="3"/>
  <c r="E36" i="3"/>
  <c r="F36" i="3" s="1"/>
  <c r="G36" i="3" s="1"/>
  <c r="H36" i="3" s="1"/>
  <c r="I36" i="3" s="1"/>
  <c r="J36" i="3" s="1"/>
  <c r="K36" i="3" s="1"/>
  <c r="L36" i="3" s="1"/>
  <c r="M36" i="3" s="1"/>
  <c r="N36" i="3" s="1"/>
  <c r="O36" i="3" s="1"/>
  <c r="E40" i="3"/>
  <c r="F40" i="3" s="1"/>
  <c r="G40" i="3" s="1"/>
  <c r="E41" i="3"/>
  <c r="F41" i="3" s="1"/>
  <c r="G41" i="3" s="1"/>
  <c r="H41" i="3" s="1"/>
  <c r="I41" i="3" s="1"/>
  <c r="J41" i="3"/>
  <c r="K41" i="3" s="1"/>
  <c r="L41" i="3" s="1"/>
  <c r="M41" i="3" s="1"/>
  <c r="N41" i="3" s="1"/>
  <c r="O41" i="3" s="1"/>
  <c r="P41" i="3" s="1"/>
  <c r="D42" i="3"/>
  <c r="E44" i="3"/>
  <c r="F44" i="3" s="1"/>
  <c r="G44" i="3" s="1"/>
  <c r="H44" i="3" s="1"/>
  <c r="D47" i="3"/>
  <c r="E48" i="3"/>
  <c r="E51" i="3" s="1"/>
  <c r="D51" i="3"/>
  <c r="E52" i="3"/>
  <c r="E55" i="3" s="1"/>
  <c r="D55" i="3"/>
  <c r="P58" i="3"/>
  <c r="AC58" i="3"/>
  <c r="AP58" i="3"/>
  <c r="R4" i="3"/>
  <c r="S4" i="3" s="1"/>
  <c r="T4" i="3" s="1"/>
  <c r="U4" i="3" s="1"/>
  <c r="V4" i="3" s="1"/>
  <c r="W4" i="3" s="1"/>
  <c r="X4" i="3" s="1"/>
  <c r="Y4" i="3" s="1"/>
  <c r="Z4" i="3" s="1"/>
  <c r="AA4" i="3" s="1"/>
  <c r="AB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D4" i="3" s="1"/>
  <c r="BE4" i="3" s="1"/>
  <c r="BF4" i="3" s="1"/>
  <c r="BG4" i="3" s="1"/>
  <c r="BH4" i="3" s="1"/>
  <c r="BI4" i="3" s="1"/>
  <c r="BJ4" i="3" s="1"/>
  <c r="BK4" i="3" s="1"/>
  <c r="BL4" i="3" s="1"/>
  <c r="BM4" i="3" s="1"/>
  <c r="BN4" i="3" s="1"/>
  <c r="BO4" i="3" s="1"/>
  <c r="P68" i="3"/>
  <c r="P63" i="3"/>
  <c r="P13" i="3"/>
  <c r="P10" i="3"/>
  <c r="AP10" i="2"/>
  <c r="AC10" i="2"/>
  <c r="P10" i="2"/>
  <c r="AS15" i="1"/>
  <c r="AF15" i="1"/>
  <c r="S15" i="1"/>
  <c r="AS12" i="1"/>
  <c r="AS11" i="1"/>
  <c r="AF12" i="1"/>
  <c r="AF11" i="1"/>
  <c r="S12" i="1"/>
  <c r="S11" i="1"/>
  <c r="AP12" i="23"/>
  <c r="AP9" i="23"/>
  <c r="AP7" i="23"/>
  <c r="AC7" i="23"/>
  <c r="P7" i="23"/>
  <c r="AY5" i="27" l="1"/>
  <c r="F52" i="3"/>
  <c r="G52" i="3" s="1"/>
  <c r="H52" i="3" s="1"/>
  <c r="Y5" i="27"/>
  <c r="BN5" i="27"/>
  <c r="L25" i="27"/>
  <c r="U27" i="27"/>
  <c r="V27" i="27" s="1"/>
  <c r="W27" i="27" s="1"/>
  <c r="N5" i="27"/>
  <c r="AN5" i="27"/>
  <c r="BI5" i="2"/>
  <c r="AV5" i="2"/>
  <c r="E42" i="3"/>
  <c r="I52" i="3"/>
  <c r="H55" i="3"/>
  <c r="I44" i="3"/>
  <c r="H47" i="3"/>
  <c r="H40" i="3"/>
  <c r="G42" i="3"/>
  <c r="P27" i="3"/>
  <c r="Q27" i="3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F55" i="3"/>
  <c r="H34" i="3"/>
  <c r="F48" i="3"/>
  <c r="G47" i="3"/>
  <c r="F42" i="3"/>
  <c r="P36" i="3"/>
  <c r="Q36" i="3"/>
  <c r="R36" i="3" s="1"/>
  <c r="S36" i="3" s="1"/>
  <c r="T36" i="3" s="1"/>
  <c r="U36" i="3" s="1"/>
  <c r="V36" i="3" s="1"/>
  <c r="W36" i="3" s="1"/>
  <c r="X36" i="3" s="1"/>
  <c r="Y36" i="3" s="1"/>
  <c r="Z36" i="3" s="1"/>
  <c r="AA36" i="3" s="1"/>
  <c r="AB36" i="3" s="1"/>
  <c r="Q41" i="3"/>
  <c r="R41" i="3" s="1"/>
  <c r="S41" i="3" s="1"/>
  <c r="T41" i="3" s="1"/>
  <c r="U41" i="3" s="1"/>
  <c r="V41" i="3" s="1"/>
  <c r="W41" i="3" s="1"/>
  <c r="X41" i="3" s="1"/>
  <c r="Y41" i="3" s="1"/>
  <c r="Z41" i="3" s="1"/>
  <c r="AA41" i="3" s="1"/>
  <c r="AB41" i="3" s="1"/>
  <c r="P32" i="3"/>
  <c r="Q32" i="3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H31" i="3"/>
  <c r="G29" i="3"/>
  <c r="C31" i="24"/>
  <c r="D29" i="24"/>
  <c r="E29" i="24" s="1"/>
  <c r="F29" i="24" s="1"/>
  <c r="G29" i="24" s="1"/>
  <c r="H29" i="24" s="1"/>
  <c r="I29" i="24" s="1"/>
  <c r="J29" i="24" s="1"/>
  <c r="K29" i="24" s="1"/>
  <c r="L29" i="24" s="1"/>
  <c r="M29" i="24" s="1"/>
  <c r="N29" i="24" s="1"/>
  <c r="E27" i="24"/>
  <c r="F27" i="24" s="1"/>
  <c r="G27" i="24" s="1"/>
  <c r="H27" i="24" s="1"/>
  <c r="I27" i="24" s="1"/>
  <c r="J27" i="24" s="1"/>
  <c r="K27" i="24" s="1"/>
  <c r="L27" i="24" s="1"/>
  <c r="M27" i="24" s="1"/>
  <c r="N27" i="24" s="1"/>
  <c r="C9" i="24"/>
  <c r="D6" i="24"/>
  <c r="E6" i="24" s="1"/>
  <c r="F6" i="24" s="1"/>
  <c r="G6" i="24" s="1"/>
  <c r="H6" i="24" s="1"/>
  <c r="I6" i="24" s="1"/>
  <c r="J6" i="24" s="1"/>
  <c r="K6" i="24" s="1"/>
  <c r="L6" i="24" s="1"/>
  <c r="M6" i="24" s="1"/>
  <c r="N6" i="24" s="1"/>
  <c r="D5" i="24"/>
  <c r="AC30" i="24"/>
  <c r="AD30" i="24" s="1"/>
  <c r="AE30" i="24" s="1"/>
  <c r="D28" i="24"/>
  <c r="E28" i="24" s="1"/>
  <c r="F28" i="24" s="1"/>
  <c r="G28" i="24" s="1"/>
  <c r="H28" i="24" s="1"/>
  <c r="I28" i="24" s="1"/>
  <c r="J28" i="24" s="1"/>
  <c r="K28" i="24" s="1"/>
  <c r="L28" i="24" s="1"/>
  <c r="M28" i="24" s="1"/>
  <c r="N28" i="24" s="1"/>
  <c r="D23" i="24"/>
  <c r="E23" i="24" s="1"/>
  <c r="F23" i="24" s="1"/>
  <c r="G23" i="24" s="1"/>
  <c r="H23" i="24" s="1"/>
  <c r="I23" i="24" s="1"/>
  <c r="J23" i="24" s="1"/>
  <c r="K23" i="24" s="1"/>
  <c r="L23" i="24" s="1"/>
  <c r="M23" i="24" s="1"/>
  <c r="N23" i="24" s="1"/>
  <c r="D22" i="24"/>
  <c r="E22" i="24" s="1"/>
  <c r="F22" i="24" s="1"/>
  <c r="G22" i="24" s="1"/>
  <c r="H22" i="24" s="1"/>
  <c r="I22" i="24" s="1"/>
  <c r="J22" i="24" s="1"/>
  <c r="K22" i="24" s="1"/>
  <c r="L22" i="24" s="1"/>
  <c r="M22" i="24" s="1"/>
  <c r="N22" i="24" s="1"/>
  <c r="C25" i="24"/>
  <c r="D24" i="24"/>
  <c r="E24" i="24" s="1"/>
  <c r="F24" i="24" s="1"/>
  <c r="G24" i="24" s="1"/>
  <c r="H24" i="24" s="1"/>
  <c r="I24" i="24" s="1"/>
  <c r="J24" i="24" s="1"/>
  <c r="K24" i="24" s="1"/>
  <c r="L24" i="24" s="1"/>
  <c r="M24" i="24" s="1"/>
  <c r="N24" i="24" s="1"/>
  <c r="D21" i="24"/>
  <c r="E21" i="24" s="1"/>
  <c r="F21" i="24" s="1"/>
  <c r="G21" i="24" s="1"/>
  <c r="H21" i="24" s="1"/>
  <c r="I21" i="24" s="1"/>
  <c r="J21" i="24" s="1"/>
  <c r="K21" i="24" s="1"/>
  <c r="L21" i="24" s="1"/>
  <c r="M21" i="24" s="1"/>
  <c r="N21" i="24" s="1"/>
  <c r="D20" i="24"/>
  <c r="C16" i="24"/>
  <c r="D17" i="24"/>
  <c r="E17" i="24" s="1"/>
  <c r="F17" i="24" s="1"/>
  <c r="G17" i="24" s="1"/>
  <c r="H17" i="24" s="1"/>
  <c r="I17" i="24" s="1"/>
  <c r="J17" i="24" s="1"/>
  <c r="K17" i="24" s="1"/>
  <c r="L17" i="24" s="1"/>
  <c r="M17" i="24" s="1"/>
  <c r="N17" i="24" s="1"/>
  <c r="D15" i="24"/>
  <c r="E15" i="24" s="1"/>
  <c r="F15" i="24" s="1"/>
  <c r="G15" i="24" s="1"/>
  <c r="H15" i="24" s="1"/>
  <c r="I15" i="24" s="1"/>
  <c r="J15" i="24" s="1"/>
  <c r="K15" i="24" s="1"/>
  <c r="L15" i="24" s="1"/>
  <c r="M15" i="24" s="1"/>
  <c r="N15" i="24" s="1"/>
  <c r="D14" i="24"/>
  <c r="E14" i="24" s="1"/>
  <c r="F14" i="24" s="1"/>
  <c r="G14" i="24" s="1"/>
  <c r="H14" i="24" s="1"/>
  <c r="I14" i="24" s="1"/>
  <c r="J14" i="24" s="1"/>
  <c r="K14" i="24" s="1"/>
  <c r="L14" i="24" s="1"/>
  <c r="M14" i="24" s="1"/>
  <c r="N14" i="24" s="1"/>
  <c r="D13" i="24"/>
  <c r="E13" i="24" s="1"/>
  <c r="F13" i="24" s="1"/>
  <c r="G13" i="24" s="1"/>
  <c r="H13" i="24" s="1"/>
  <c r="I13" i="24" s="1"/>
  <c r="J13" i="24" s="1"/>
  <c r="K13" i="24" s="1"/>
  <c r="L13" i="24" s="1"/>
  <c r="M13" i="24" s="1"/>
  <c r="N13" i="24" s="1"/>
  <c r="O13" i="24" s="1"/>
  <c r="C12" i="24"/>
  <c r="D10" i="24"/>
  <c r="Q4" i="24"/>
  <c r="R4" i="24" s="1"/>
  <c r="S4" i="24" s="1"/>
  <c r="T4" i="24" s="1"/>
  <c r="U4" i="24" s="1"/>
  <c r="V4" i="24" s="1"/>
  <c r="W4" i="24" s="1"/>
  <c r="X4" i="24" s="1"/>
  <c r="Y4" i="24" s="1"/>
  <c r="Z4" i="24" s="1"/>
  <c r="AA4" i="24" s="1"/>
  <c r="AC4" i="24" s="1"/>
  <c r="AD4" i="24" s="1"/>
  <c r="AE4" i="24" s="1"/>
  <c r="AF4" i="24" s="1"/>
  <c r="AG4" i="24" s="1"/>
  <c r="AH4" i="24" s="1"/>
  <c r="AI4" i="24" s="1"/>
  <c r="AJ4" i="24" s="1"/>
  <c r="AK4" i="24" s="1"/>
  <c r="AL4" i="24" s="1"/>
  <c r="AM4" i="24" s="1"/>
  <c r="AN4" i="24" s="1"/>
  <c r="AP4" i="24" s="1"/>
  <c r="AQ4" i="24" s="1"/>
  <c r="AR4" i="24" s="1"/>
  <c r="AS4" i="24" s="1"/>
  <c r="AT4" i="24" s="1"/>
  <c r="AU4" i="24" s="1"/>
  <c r="AV4" i="24" s="1"/>
  <c r="AW4" i="24" s="1"/>
  <c r="AX4" i="24" s="1"/>
  <c r="AY4" i="24" s="1"/>
  <c r="AZ4" i="24" s="1"/>
  <c r="BA4" i="24" s="1"/>
  <c r="BC4" i="24" s="1"/>
  <c r="BD4" i="24" s="1"/>
  <c r="BE4" i="24" s="1"/>
  <c r="BF4" i="24" s="1"/>
  <c r="BG4" i="24" s="1"/>
  <c r="BH4" i="24" s="1"/>
  <c r="BI4" i="24" s="1"/>
  <c r="BJ4" i="24" s="1"/>
  <c r="BK4" i="24" s="1"/>
  <c r="BL4" i="24" s="1"/>
  <c r="BM4" i="24" s="1"/>
  <c r="BN4" i="24" s="1"/>
  <c r="AF67" i="3"/>
  <c r="AS67" i="3" s="1"/>
  <c r="BF67" i="3" s="1"/>
  <c r="D69" i="3"/>
  <c r="E67" i="3"/>
  <c r="F67" i="3" s="1"/>
  <c r="C6" i="22"/>
  <c r="E27" i="2"/>
  <c r="E25" i="2"/>
  <c r="E7" i="2"/>
  <c r="M6" i="22"/>
  <c r="M7" i="22" s="1"/>
  <c r="H6" i="22"/>
  <c r="H7" i="22" s="1"/>
  <c r="AZ5" i="27" l="1"/>
  <c r="Z5" i="27"/>
  <c r="AO5" i="27"/>
  <c r="O5" i="27"/>
  <c r="P5" i="27" s="1"/>
  <c r="X27" i="27"/>
  <c r="BO5" i="27"/>
  <c r="M25" i="27"/>
  <c r="D12" i="23"/>
  <c r="C7" i="22"/>
  <c r="AD27" i="3"/>
  <c r="AE27" i="3" s="1"/>
  <c r="AF27" i="3" s="1"/>
  <c r="AG27" i="3" s="1"/>
  <c r="AH27" i="3" s="1"/>
  <c r="AI27" i="3" s="1"/>
  <c r="AJ27" i="3" s="1"/>
  <c r="AK27" i="3" s="1"/>
  <c r="AL27" i="3" s="1"/>
  <c r="AM27" i="3" s="1"/>
  <c r="AN27" i="3" s="1"/>
  <c r="AO27" i="3" s="1"/>
  <c r="AC27" i="3"/>
  <c r="AD36" i="3"/>
  <c r="AE36" i="3" s="1"/>
  <c r="AF36" i="3" s="1"/>
  <c r="AG36" i="3" s="1"/>
  <c r="AH36" i="3" s="1"/>
  <c r="AI36" i="3" s="1"/>
  <c r="AJ36" i="3" s="1"/>
  <c r="AK36" i="3" s="1"/>
  <c r="AL36" i="3" s="1"/>
  <c r="AM36" i="3" s="1"/>
  <c r="AN36" i="3" s="1"/>
  <c r="AO36" i="3" s="1"/>
  <c r="AC36" i="3"/>
  <c r="AD41" i="3"/>
  <c r="AE41" i="3" s="1"/>
  <c r="AF41" i="3" s="1"/>
  <c r="AG41" i="3" s="1"/>
  <c r="AH41" i="3" s="1"/>
  <c r="AI41" i="3" s="1"/>
  <c r="AJ41" i="3" s="1"/>
  <c r="AK41" i="3" s="1"/>
  <c r="AL41" i="3" s="1"/>
  <c r="AM41" i="3" s="1"/>
  <c r="AN41" i="3" s="1"/>
  <c r="AO41" i="3" s="1"/>
  <c r="AC41" i="3"/>
  <c r="AD32" i="3"/>
  <c r="AE32" i="3" s="1"/>
  <c r="AF32" i="3" s="1"/>
  <c r="AG32" i="3" s="1"/>
  <c r="AH32" i="3" s="1"/>
  <c r="AI32" i="3" s="1"/>
  <c r="AJ32" i="3" s="1"/>
  <c r="AK32" i="3" s="1"/>
  <c r="AL32" i="3" s="1"/>
  <c r="AM32" i="3" s="1"/>
  <c r="AN32" i="3" s="1"/>
  <c r="AO32" i="3" s="1"/>
  <c r="AC32" i="3"/>
  <c r="BJ5" i="2"/>
  <c r="AW5" i="2"/>
  <c r="P21" i="24"/>
  <c r="Q21" i="24" s="1"/>
  <c r="R21" i="24" s="1"/>
  <c r="S21" i="24" s="1"/>
  <c r="T21" i="24" s="1"/>
  <c r="U21" i="24" s="1"/>
  <c r="V21" i="24" s="1"/>
  <c r="W21" i="24" s="1"/>
  <c r="X21" i="24" s="1"/>
  <c r="Y21" i="24" s="1"/>
  <c r="Z21" i="24" s="1"/>
  <c r="AA21" i="24" s="1"/>
  <c r="O21" i="24"/>
  <c r="P6" i="24"/>
  <c r="Q6" i="24" s="1"/>
  <c r="R6" i="24" s="1"/>
  <c r="S6" i="24" s="1"/>
  <c r="T6" i="24" s="1"/>
  <c r="U6" i="24" s="1"/>
  <c r="V6" i="24" s="1"/>
  <c r="W6" i="24" s="1"/>
  <c r="X6" i="24" s="1"/>
  <c r="Y6" i="24" s="1"/>
  <c r="Z6" i="24" s="1"/>
  <c r="AA6" i="24" s="1"/>
  <c r="O6" i="24"/>
  <c r="P17" i="24"/>
  <c r="Q17" i="24" s="1"/>
  <c r="R17" i="24" s="1"/>
  <c r="S17" i="24" s="1"/>
  <c r="T17" i="24" s="1"/>
  <c r="U17" i="24" s="1"/>
  <c r="V17" i="24" s="1"/>
  <c r="W17" i="24" s="1"/>
  <c r="X17" i="24" s="1"/>
  <c r="Y17" i="24" s="1"/>
  <c r="Z17" i="24" s="1"/>
  <c r="AA17" i="24" s="1"/>
  <c r="O17" i="24"/>
  <c r="P28" i="24"/>
  <c r="Q28" i="24" s="1"/>
  <c r="R28" i="24" s="1"/>
  <c r="S28" i="24" s="1"/>
  <c r="T28" i="24" s="1"/>
  <c r="U28" i="24" s="1"/>
  <c r="V28" i="24" s="1"/>
  <c r="W28" i="24" s="1"/>
  <c r="X28" i="24" s="1"/>
  <c r="Y28" i="24" s="1"/>
  <c r="Z28" i="24" s="1"/>
  <c r="AA28" i="24" s="1"/>
  <c r="O28" i="24"/>
  <c r="D31" i="24"/>
  <c r="P14" i="24"/>
  <c r="Q14" i="24" s="1"/>
  <c r="R14" i="24" s="1"/>
  <c r="S14" i="24" s="1"/>
  <c r="T14" i="24" s="1"/>
  <c r="U14" i="24" s="1"/>
  <c r="V14" i="24" s="1"/>
  <c r="W14" i="24" s="1"/>
  <c r="X14" i="24" s="1"/>
  <c r="Y14" i="24" s="1"/>
  <c r="Z14" i="24" s="1"/>
  <c r="AA14" i="24" s="1"/>
  <c r="O14" i="24"/>
  <c r="P22" i="24"/>
  <c r="Q22" i="24" s="1"/>
  <c r="R22" i="24" s="1"/>
  <c r="S22" i="24" s="1"/>
  <c r="T22" i="24" s="1"/>
  <c r="U22" i="24" s="1"/>
  <c r="V22" i="24" s="1"/>
  <c r="W22" i="24" s="1"/>
  <c r="X22" i="24" s="1"/>
  <c r="Y22" i="24" s="1"/>
  <c r="Z22" i="24" s="1"/>
  <c r="AA22" i="24" s="1"/>
  <c r="O22" i="24"/>
  <c r="D9" i="24"/>
  <c r="P29" i="24"/>
  <c r="Q29" i="24" s="1"/>
  <c r="R29" i="24" s="1"/>
  <c r="S29" i="24" s="1"/>
  <c r="T29" i="24" s="1"/>
  <c r="U29" i="24" s="1"/>
  <c r="V29" i="24" s="1"/>
  <c r="W29" i="24" s="1"/>
  <c r="X29" i="24" s="1"/>
  <c r="Y29" i="24" s="1"/>
  <c r="Z29" i="24" s="1"/>
  <c r="AA29" i="24" s="1"/>
  <c r="O29" i="24"/>
  <c r="P15" i="24"/>
  <c r="Q15" i="24" s="1"/>
  <c r="R15" i="24" s="1"/>
  <c r="S15" i="24" s="1"/>
  <c r="T15" i="24" s="1"/>
  <c r="U15" i="24" s="1"/>
  <c r="V15" i="24" s="1"/>
  <c r="W15" i="24" s="1"/>
  <c r="X15" i="24" s="1"/>
  <c r="Y15" i="24" s="1"/>
  <c r="Z15" i="24" s="1"/>
  <c r="AA15" i="24" s="1"/>
  <c r="O15" i="24"/>
  <c r="P23" i="24"/>
  <c r="Q23" i="24" s="1"/>
  <c r="R23" i="24" s="1"/>
  <c r="S23" i="24" s="1"/>
  <c r="T23" i="24" s="1"/>
  <c r="U23" i="24" s="1"/>
  <c r="V23" i="24" s="1"/>
  <c r="W23" i="24" s="1"/>
  <c r="X23" i="24" s="1"/>
  <c r="Y23" i="24" s="1"/>
  <c r="Z23" i="24" s="1"/>
  <c r="AA23" i="24" s="1"/>
  <c r="O23" i="24"/>
  <c r="P24" i="24"/>
  <c r="Q24" i="24" s="1"/>
  <c r="R24" i="24" s="1"/>
  <c r="S24" i="24" s="1"/>
  <c r="T24" i="24" s="1"/>
  <c r="U24" i="24" s="1"/>
  <c r="V24" i="24" s="1"/>
  <c r="W24" i="24" s="1"/>
  <c r="X24" i="24" s="1"/>
  <c r="Y24" i="24" s="1"/>
  <c r="Z24" i="24" s="1"/>
  <c r="AA24" i="24" s="1"/>
  <c r="O24" i="24"/>
  <c r="P27" i="24"/>
  <c r="Q27" i="24" s="1"/>
  <c r="R27" i="24" s="1"/>
  <c r="S27" i="24" s="1"/>
  <c r="T27" i="24" s="1"/>
  <c r="U27" i="24" s="1"/>
  <c r="V27" i="24" s="1"/>
  <c r="W27" i="24" s="1"/>
  <c r="X27" i="24" s="1"/>
  <c r="Y27" i="24" s="1"/>
  <c r="Z27" i="24" s="1"/>
  <c r="AA27" i="24" s="1"/>
  <c r="O27" i="24"/>
  <c r="I34" i="3"/>
  <c r="H29" i="3"/>
  <c r="H42" i="3"/>
  <c r="I40" i="3"/>
  <c r="I31" i="3"/>
  <c r="G48" i="3"/>
  <c r="F51" i="3"/>
  <c r="I47" i="3"/>
  <c r="J44" i="3"/>
  <c r="I55" i="3"/>
  <c r="J52" i="3"/>
  <c r="F25" i="2"/>
  <c r="G25" i="2" s="1"/>
  <c r="H25" i="2" s="1"/>
  <c r="I25" i="2" s="1"/>
  <c r="J25" i="2" s="1"/>
  <c r="K25" i="2" s="1"/>
  <c r="L25" i="2" s="1"/>
  <c r="M25" i="2" s="1"/>
  <c r="N25" i="2" s="1"/>
  <c r="O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D25" i="2" s="1"/>
  <c r="AE25" i="2" s="1"/>
  <c r="AF25" i="2" s="1"/>
  <c r="AG25" i="2" s="1"/>
  <c r="AH25" i="2" s="1"/>
  <c r="AI25" i="2" s="1"/>
  <c r="AJ25" i="2" s="1"/>
  <c r="AK25" i="2" s="1"/>
  <c r="AL25" i="2" s="1"/>
  <c r="AM25" i="2" s="1"/>
  <c r="AN25" i="2" s="1"/>
  <c r="AO25" i="2" s="1"/>
  <c r="AQ25" i="2" s="1"/>
  <c r="F7" i="2"/>
  <c r="G7" i="2" s="1"/>
  <c r="H7" i="2" s="1"/>
  <c r="I7" i="2" s="1"/>
  <c r="J7" i="2" s="1"/>
  <c r="K7" i="2" s="1"/>
  <c r="L7" i="2" s="1"/>
  <c r="M7" i="2" s="1"/>
  <c r="N7" i="2" s="1"/>
  <c r="O7" i="2" s="1"/>
  <c r="G31" i="24"/>
  <c r="K31" i="24"/>
  <c r="H31" i="24"/>
  <c r="L31" i="24"/>
  <c r="E31" i="24"/>
  <c r="I31" i="24"/>
  <c r="M31" i="24"/>
  <c r="F27" i="2"/>
  <c r="G27" i="2" s="1"/>
  <c r="H27" i="2" s="1"/>
  <c r="I27" i="2" s="1"/>
  <c r="J27" i="2" s="1"/>
  <c r="K27" i="2" s="1"/>
  <c r="L27" i="2" s="1"/>
  <c r="M27" i="2" s="1"/>
  <c r="N27" i="2" s="1"/>
  <c r="O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D27" i="2" s="1"/>
  <c r="AE27" i="2" s="1"/>
  <c r="AF27" i="2" s="1"/>
  <c r="AG27" i="2" s="1"/>
  <c r="AH27" i="2" s="1"/>
  <c r="AI27" i="2" s="1"/>
  <c r="AJ27" i="2" s="1"/>
  <c r="AK27" i="2" s="1"/>
  <c r="AL27" i="2" s="1"/>
  <c r="AM27" i="2" s="1"/>
  <c r="AN27" i="2" s="1"/>
  <c r="AO27" i="2" s="1"/>
  <c r="AQ27" i="2" s="1"/>
  <c r="F31" i="24"/>
  <c r="J31" i="24"/>
  <c r="N31" i="24"/>
  <c r="E5" i="24"/>
  <c r="E9" i="24" s="1"/>
  <c r="D25" i="24"/>
  <c r="E20" i="24"/>
  <c r="N16" i="24"/>
  <c r="P13" i="24"/>
  <c r="G16" i="24"/>
  <c r="K16" i="24"/>
  <c r="D16" i="24"/>
  <c r="H16" i="24"/>
  <c r="L16" i="24"/>
  <c r="E16" i="24"/>
  <c r="I16" i="24"/>
  <c r="M16" i="24"/>
  <c r="F16" i="24"/>
  <c r="J16" i="24"/>
  <c r="D12" i="24"/>
  <c r="E10" i="24"/>
  <c r="E12" i="24" s="1"/>
  <c r="R7" i="2"/>
  <c r="G67" i="3"/>
  <c r="R8" i="22"/>
  <c r="W6" i="3"/>
  <c r="W9" i="27" s="1"/>
  <c r="W11" i="27" s="1"/>
  <c r="J6" i="3"/>
  <c r="J9" i="27" s="1"/>
  <c r="D6" i="3"/>
  <c r="D8" i="3" l="1"/>
  <c r="D9" i="27"/>
  <c r="W21" i="27"/>
  <c r="W20" i="27"/>
  <c r="W18" i="27"/>
  <c r="W22" i="27"/>
  <c r="W12" i="27"/>
  <c r="W15" i="27" s="1"/>
  <c r="W17" i="27"/>
  <c r="W14" i="27"/>
  <c r="W13" i="27"/>
  <c r="W16" i="27"/>
  <c r="W19" i="27" s="1"/>
  <c r="W23" i="27"/>
  <c r="AA5" i="27"/>
  <c r="W28" i="27"/>
  <c r="BA5" i="27"/>
  <c r="J28" i="27"/>
  <c r="J11" i="27"/>
  <c r="J26" i="27"/>
  <c r="N25" i="27"/>
  <c r="BP5" i="27"/>
  <c r="Y27" i="27"/>
  <c r="Z27" i="27" s="1"/>
  <c r="AP5" i="27"/>
  <c r="AR27" i="2"/>
  <c r="AS27" i="2" s="1"/>
  <c r="AT27" i="2" s="1"/>
  <c r="AC24" i="24"/>
  <c r="AD24" i="24" s="1"/>
  <c r="AE24" i="24" s="1"/>
  <c r="AF24" i="24" s="1"/>
  <c r="AG24" i="24" s="1"/>
  <c r="AH24" i="24" s="1"/>
  <c r="AI24" i="24" s="1"/>
  <c r="AJ24" i="24" s="1"/>
  <c r="AK24" i="24" s="1"/>
  <c r="AL24" i="24" s="1"/>
  <c r="AM24" i="24" s="1"/>
  <c r="AN24" i="24" s="1"/>
  <c r="AB24" i="24"/>
  <c r="AC15" i="24"/>
  <c r="AD15" i="24" s="1"/>
  <c r="AE15" i="24" s="1"/>
  <c r="AF15" i="24" s="1"/>
  <c r="AG15" i="24" s="1"/>
  <c r="AH15" i="24" s="1"/>
  <c r="AI15" i="24" s="1"/>
  <c r="AJ15" i="24" s="1"/>
  <c r="AK15" i="24" s="1"/>
  <c r="AL15" i="24" s="1"/>
  <c r="AM15" i="24" s="1"/>
  <c r="AN15" i="24" s="1"/>
  <c r="AB15" i="24"/>
  <c r="AC17" i="24"/>
  <c r="AD17" i="24" s="1"/>
  <c r="AE17" i="24" s="1"/>
  <c r="AF17" i="24" s="1"/>
  <c r="AG17" i="24" s="1"/>
  <c r="AH17" i="24" s="1"/>
  <c r="AI17" i="24" s="1"/>
  <c r="AJ17" i="24" s="1"/>
  <c r="AK17" i="24" s="1"/>
  <c r="AL17" i="24" s="1"/>
  <c r="AM17" i="24" s="1"/>
  <c r="AN17" i="24" s="1"/>
  <c r="AB17" i="24"/>
  <c r="AC21" i="24"/>
  <c r="AD21" i="24" s="1"/>
  <c r="AE21" i="24" s="1"/>
  <c r="AF21" i="24" s="1"/>
  <c r="AG21" i="24" s="1"/>
  <c r="AH21" i="24" s="1"/>
  <c r="AI21" i="24" s="1"/>
  <c r="AJ21" i="24" s="1"/>
  <c r="AK21" i="24" s="1"/>
  <c r="AL21" i="24" s="1"/>
  <c r="AM21" i="24" s="1"/>
  <c r="AN21" i="24" s="1"/>
  <c r="AB21" i="24"/>
  <c r="AQ41" i="3"/>
  <c r="AR41" i="3" s="1"/>
  <c r="AS41" i="3" s="1"/>
  <c r="AT41" i="3" s="1"/>
  <c r="AU41" i="3" s="1"/>
  <c r="AV41" i="3" s="1"/>
  <c r="AW41" i="3" s="1"/>
  <c r="AX41" i="3" s="1"/>
  <c r="AY41" i="3" s="1"/>
  <c r="AZ41" i="3" s="1"/>
  <c r="BA41" i="3" s="1"/>
  <c r="BB41" i="3" s="1"/>
  <c r="AP41" i="3"/>
  <c r="AQ27" i="3"/>
  <c r="AP27" i="3"/>
  <c r="AC23" i="24"/>
  <c r="AD23" i="24" s="1"/>
  <c r="AE23" i="24" s="1"/>
  <c r="AF23" i="24" s="1"/>
  <c r="AG23" i="24" s="1"/>
  <c r="AH23" i="24" s="1"/>
  <c r="AI23" i="24" s="1"/>
  <c r="AJ23" i="24" s="1"/>
  <c r="AK23" i="24" s="1"/>
  <c r="AL23" i="24" s="1"/>
  <c r="AM23" i="24" s="1"/>
  <c r="AN23" i="24" s="1"/>
  <c r="AB23" i="24"/>
  <c r="AC6" i="24"/>
  <c r="AD6" i="24" s="1"/>
  <c r="AE6" i="24" s="1"/>
  <c r="AF6" i="24" s="1"/>
  <c r="AG6" i="24" s="1"/>
  <c r="AH6" i="24" s="1"/>
  <c r="AI6" i="24" s="1"/>
  <c r="AJ6" i="24" s="1"/>
  <c r="AK6" i="24" s="1"/>
  <c r="AL6" i="24" s="1"/>
  <c r="AM6" i="24" s="1"/>
  <c r="AN6" i="24" s="1"/>
  <c r="AB6" i="24"/>
  <c r="AQ32" i="3"/>
  <c r="AR32" i="3" s="1"/>
  <c r="AS32" i="3" s="1"/>
  <c r="AT32" i="3" s="1"/>
  <c r="AU32" i="3" s="1"/>
  <c r="AV32" i="3" s="1"/>
  <c r="AW32" i="3" s="1"/>
  <c r="AX32" i="3" s="1"/>
  <c r="AY32" i="3" s="1"/>
  <c r="AZ32" i="3" s="1"/>
  <c r="BA32" i="3" s="1"/>
  <c r="BB32" i="3" s="1"/>
  <c r="AP32" i="3"/>
  <c r="AQ36" i="3"/>
  <c r="AR36" i="3" s="1"/>
  <c r="AS36" i="3" s="1"/>
  <c r="AT36" i="3" s="1"/>
  <c r="AU36" i="3" s="1"/>
  <c r="AV36" i="3" s="1"/>
  <c r="AW36" i="3" s="1"/>
  <c r="AX36" i="3" s="1"/>
  <c r="AY36" i="3" s="1"/>
  <c r="AZ36" i="3" s="1"/>
  <c r="BA36" i="3" s="1"/>
  <c r="BB36" i="3" s="1"/>
  <c r="AP36" i="3"/>
  <c r="AR25" i="2"/>
  <c r="AC22" i="24"/>
  <c r="AD22" i="24" s="1"/>
  <c r="AE22" i="24" s="1"/>
  <c r="AF22" i="24" s="1"/>
  <c r="AG22" i="24" s="1"/>
  <c r="AH22" i="24" s="1"/>
  <c r="AI22" i="24" s="1"/>
  <c r="AJ22" i="24" s="1"/>
  <c r="AK22" i="24" s="1"/>
  <c r="AL22" i="24" s="1"/>
  <c r="AM22" i="24" s="1"/>
  <c r="AN22" i="24" s="1"/>
  <c r="AB22" i="24"/>
  <c r="AC27" i="24"/>
  <c r="AD27" i="24" s="1"/>
  <c r="AE27" i="24" s="1"/>
  <c r="AF27" i="24" s="1"/>
  <c r="AG27" i="24" s="1"/>
  <c r="AH27" i="24" s="1"/>
  <c r="AI27" i="24" s="1"/>
  <c r="AJ27" i="24" s="1"/>
  <c r="AK27" i="24" s="1"/>
  <c r="AL27" i="24" s="1"/>
  <c r="AM27" i="24" s="1"/>
  <c r="AN27" i="24" s="1"/>
  <c r="AB27" i="24"/>
  <c r="AC29" i="24"/>
  <c r="AD29" i="24" s="1"/>
  <c r="AE29" i="24" s="1"/>
  <c r="AF29" i="24" s="1"/>
  <c r="AG29" i="24" s="1"/>
  <c r="AH29" i="24" s="1"/>
  <c r="AI29" i="24" s="1"/>
  <c r="AJ29" i="24" s="1"/>
  <c r="AK29" i="24" s="1"/>
  <c r="AL29" i="24" s="1"/>
  <c r="AM29" i="24" s="1"/>
  <c r="AN29" i="24" s="1"/>
  <c r="AB29" i="24"/>
  <c r="AC28" i="24"/>
  <c r="AD28" i="24" s="1"/>
  <c r="AE28" i="24" s="1"/>
  <c r="AF28" i="24" s="1"/>
  <c r="AG28" i="24" s="1"/>
  <c r="AH28" i="24" s="1"/>
  <c r="AI28" i="24" s="1"/>
  <c r="AJ28" i="24" s="1"/>
  <c r="AK28" i="24" s="1"/>
  <c r="AL28" i="24" s="1"/>
  <c r="AM28" i="24" s="1"/>
  <c r="AN28" i="24" s="1"/>
  <c r="AB28" i="24"/>
  <c r="AC14" i="24"/>
  <c r="AD14" i="24" s="1"/>
  <c r="AE14" i="24" s="1"/>
  <c r="AF14" i="24" s="1"/>
  <c r="AG14" i="24" s="1"/>
  <c r="AH14" i="24" s="1"/>
  <c r="AI14" i="24" s="1"/>
  <c r="AJ14" i="24" s="1"/>
  <c r="AK14" i="24" s="1"/>
  <c r="AL14" i="24" s="1"/>
  <c r="AM14" i="24" s="1"/>
  <c r="AN14" i="24" s="1"/>
  <c r="AB14" i="24"/>
  <c r="BK5" i="2"/>
  <c r="AX5" i="2"/>
  <c r="P16" i="24"/>
  <c r="K52" i="3"/>
  <c r="J55" i="3"/>
  <c r="I42" i="3"/>
  <c r="J40" i="3"/>
  <c r="G51" i="3"/>
  <c r="H48" i="3"/>
  <c r="J34" i="3"/>
  <c r="K44" i="3"/>
  <c r="L44" i="3" s="1"/>
  <c r="M44" i="3" s="1"/>
  <c r="N44" i="3" s="1"/>
  <c r="J47" i="3"/>
  <c r="I29" i="3"/>
  <c r="D30" i="3"/>
  <c r="D33" i="3"/>
  <c r="J31" i="3"/>
  <c r="P27" i="2"/>
  <c r="P7" i="2"/>
  <c r="P25" i="2"/>
  <c r="AC25" i="2" s="1"/>
  <c r="AP25" i="2" s="1"/>
  <c r="S7" i="2"/>
  <c r="T7" i="2" s="1"/>
  <c r="U7" i="2" s="1"/>
  <c r="V7" i="2" s="1"/>
  <c r="W7" i="2" s="1"/>
  <c r="X7" i="2" s="1"/>
  <c r="Y7" i="2" s="1"/>
  <c r="Z7" i="2" s="1"/>
  <c r="AA7" i="2" s="1"/>
  <c r="AB7" i="2" s="1"/>
  <c r="AE7" i="2" s="1"/>
  <c r="AC27" i="2"/>
  <c r="AP27" i="2" s="1"/>
  <c r="C18" i="24"/>
  <c r="C19" i="24" s="1"/>
  <c r="C32" i="24" s="1"/>
  <c r="D16" i="20"/>
  <c r="I18" i="24"/>
  <c r="I19" i="24" s="1"/>
  <c r="V18" i="24"/>
  <c r="V19" i="24" s="1"/>
  <c r="F5" i="24"/>
  <c r="F9" i="24" s="1"/>
  <c r="E25" i="24"/>
  <c r="F20" i="24"/>
  <c r="Q13" i="24"/>
  <c r="Q16" i="24" s="1"/>
  <c r="F10" i="24"/>
  <c r="F12" i="24" s="1"/>
  <c r="H67" i="3"/>
  <c r="Q76" i="22"/>
  <c r="V76" i="22" s="1"/>
  <c r="Q72" i="22"/>
  <c r="V72" i="22" s="1"/>
  <c r="BN15" i="23" s="1"/>
  <c r="Q68" i="22"/>
  <c r="Q64" i="22"/>
  <c r="Q60" i="22"/>
  <c r="Q55" i="22"/>
  <c r="Q51" i="22"/>
  <c r="Q43" i="22"/>
  <c r="Q35" i="22"/>
  <c r="Q27" i="22"/>
  <c r="T19" i="22"/>
  <c r="R20" i="22" s="1"/>
  <c r="Q79" i="22"/>
  <c r="V79" i="22" s="1"/>
  <c r="Q71" i="22"/>
  <c r="V71" i="22" s="1"/>
  <c r="BM15" i="23" s="1"/>
  <c r="Q63" i="22"/>
  <c r="Q56" i="22"/>
  <c r="Q50" i="22"/>
  <c r="Q42" i="22"/>
  <c r="Q34" i="22"/>
  <c r="Q26" i="22"/>
  <c r="Q78" i="22"/>
  <c r="V78" i="22" s="1"/>
  <c r="Q74" i="22"/>
  <c r="V74" i="22" s="1"/>
  <c r="Q70" i="22"/>
  <c r="V70" i="22" s="1"/>
  <c r="BL15" i="23" s="1"/>
  <c r="Q66" i="22"/>
  <c r="Q62" i="22"/>
  <c r="Q58" i="22"/>
  <c r="Q53" i="22"/>
  <c r="Q49" i="22"/>
  <c r="Q45" i="22"/>
  <c r="Q41" i="22"/>
  <c r="Q37" i="22"/>
  <c r="Q33" i="22"/>
  <c r="Q29" i="22"/>
  <c r="Q25" i="22"/>
  <c r="Q21" i="22"/>
  <c r="Q77" i="22"/>
  <c r="V77" i="22" s="1"/>
  <c r="Q73" i="22"/>
  <c r="V73" i="22" s="1"/>
  <c r="BO15" i="23" s="1"/>
  <c r="Q69" i="22"/>
  <c r="V69" i="22" s="1"/>
  <c r="BK15" i="23" s="1"/>
  <c r="Q65" i="22"/>
  <c r="Q61" i="22"/>
  <c r="Q57" i="22"/>
  <c r="Q52" i="22"/>
  <c r="Q48" i="22"/>
  <c r="Q44" i="22"/>
  <c r="Q40" i="22"/>
  <c r="Q36" i="22"/>
  <c r="Q32" i="22"/>
  <c r="Q28" i="22"/>
  <c r="Q24" i="22"/>
  <c r="Q20" i="22"/>
  <c r="Q47" i="22"/>
  <c r="Q39" i="22"/>
  <c r="Q31" i="22"/>
  <c r="Q23" i="22"/>
  <c r="Q75" i="22"/>
  <c r="V75" i="22" s="1"/>
  <c r="Q67" i="22"/>
  <c r="Q59" i="22"/>
  <c r="Q54" i="22"/>
  <c r="Q46" i="22"/>
  <c r="Q38" i="22"/>
  <c r="Q30" i="22"/>
  <c r="Q22" i="22"/>
  <c r="D14" i="3"/>
  <c r="D11" i="3"/>
  <c r="H14" i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B14" i="26" s="1"/>
  <c r="J14" i="27" l="1"/>
  <c r="J17" i="27"/>
  <c r="J16" i="27"/>
  <c r="J19" i="27" s="1"/>
  <c r="J20" i="27"/>
  <c r="J22" i="27"/>
  <c r="J12" i="27"/>
  <c r="J23" i="27"/>
  <c r="J21" i="27"/>
  <c r="J13" i="27"/>
  <c r="J18" i="27"/>
  <c r="AB5" i="27"/>
  <c r="D28" i="27"/>
  <c r="D26" i="27"/>
  <c r="D11" i="27"/>
  <c r="BB5" i="27"/>
  <c r="W24" i="27"/>
  <c r="AA27" i="27"/>
  <c r="AB27" i="27" s="1"/>
  <c r="AD27" i="27" s="1"/>
  <c r="O25" i="27"/>
  <c r="P25" i="27" s="1"/>
  <c r="B20" i="26"/>
  <c r="AP28" i="24"/>
  <c r="AQ28" i="24" s="1"/>
  <c r="AR28" i="24" s="1"/>
  <c r="AS28" i="24" s="1"/>
  <c r="AT28" i="24" s="1"/>
  <c r="AU28" i="24" s="1"/>
  <c r="AV28" i="24" s="1"/>
  <c r="AW28" i="24" s="1"/>
  <c r="AX28" i="24" s="1"/>
  <c r="AY28" i="24" s="1"/>
  <c r="AZ28" i="24" s="1"/>
  <c r="BA28" i="24" s="1"/>
  <c r="AO28" i="24"/>
  <c r="AP27" i="24"/>
  <c r="AQ27" i="24" s="1"/>
  <c r="AR27" i="24" s="1"/>
  <c r="AS27" i="24" s="1"/>
  <c r="AT27" i="24" s="1"/>
  <c r="AU27" i="24" s="1"/>
  <c r="AV27" i="24" s="1"/>
  <c r="AW27" i="24" s="1"/>
  <c r="AX27" i="24" s="1"/>
  <c r="AY27" i="24" s="1"/>
  <c r="AZ27" i="24" s="1"/>
  <c r="BA27" i="24" s="1"/>
  <c r="AO27" i="24"/>
  <c r="AS25" i="2"/>
  <c r="BC32" i="3"/>
  <c r="BD32" i="3"/>
  <c r="BE32" i="3" s="1"/>
  <c r="BF32" i="3" s="1"/>
  <c r="BG32" i="3" s="1"/>
  <c r="BH32" i="3" s="1"/>
  <c r="BI32" i="3" s="1"/>
  <c r="BJ32" i="3" s="1"/>
  <c r="BK32" i="3" s="1"/>
  <c r="BL32" i="3" s="1"/>
  <c r="BM32" i="3" s="1"/>
  <c r="BN32" i="3" s="1"/>
  <c r="BO32" i="3" s="1"/>
  <c r="BP32" i="3" s="1"/>
  <c r="AP23" i="24"/>
  <c r="AQ23" i="24" s="1"/>
  <c r="AR23" i="24" s="1"/>
  <c r="AS23" i="24" s="1"/>
  <c r="AT23" i="24" s="1"/>
  <c r="AU23" i="24" s="1"/>
  <c r="AV23" i="24" s="1"/>
  <c r="AW23" i="24" s="1"/>
  <c r="AX23" i="24" s="1"/>
  <c r="AY23" i="24" s="1"/>
  <c r="AZ23" i="24" s="1"/>
  <c r="BA23" i="24" s="1"/>
  <c r="AO23" i="24"/>
  <c r="BC41" i="3"/>
  <c r="BD41" i="3"/>
  <c r="BE41" i="3" s="1"/>
  <c r="BF41" i="3" s="1"/>
  <c r="BG41" i="3" s="1"/>
  <c r="BH41" i="3" s="1"/>
  <c r="BI41" i="3" s="1"/>
  <c r="BJ41" i="3" s="1"/>
  <c r="BK41" i="3" s="1"/>
  <c r="BL41" i="3" s="1"/>
  <c r="BM41" i="3" s="1"/>
  <c r="BN41" i="3" s="1"/>
  <c r="BO41" i="3" s="1"/>
  <c r="BP41" i="3" s="1"/>
  <c r="AP17" i="24"/>
  <c r="AO17" i="24"/>
  <c r="AP24" i="24"/>
  <c r="AQ24" i="24" s="1"/>
  <c r="AR24" i="24" s="1"/>
  <c r="AS24" i="24" s="1"/>
  <c r="AT24" i="24" s="1"/>
  <c r="AU24" i="24" s="1"/>
  <c r="AV24" i="24" s="1"/>
  <c r="AW24" i="24" s="1"/>
  <c r="AX24" i="24" s="1"/>
  <c r="AY24" i="24" s="1"/>
  <c r="AZ24" i="24" s="1"/>
  <c r="BA24" i="24" s="1"/>
  <c r="AO24" i="24"/>
  <c r="AU27" i="2"/>
  <c r="AV27" i="2" s="1"/>
  <c r="AW27" i="2" s="1"/>
  <c r="AP14" i="24"/>
  <c r="AQ14" i="24" s="1"/>
  <c r="AR14" i="24" s="1"/>
  <c r="AS14" i="24" s="1"/>
  <c r="AT14" i="24" s="1"/>
  <c r="AU14" i="24" s="1"/>
  <c r="AV14" i="24" s="1"/>
  <c r="AW14" i="24" s="1"/>
  <c r="AX14" i="24" s="1"/>
  <c r="AY14" i="24" s="1"/>
  <c r="AZ14" i="24" s="1"/>
  <c r="BA14" i="24" s="1"/>
  <c r="AO14" i="24"/>
  <c r="AP29" i="24"/>
  <c r="AQ29" i="24" s="1"/>
  <c r="AR29" i="24" s="1"/>
  <c r="AS29" i="24" s="1"/>
  <c r="AT29" i="24" s="1"/>
  <c r="AU29" i="24" s="1"/>
  <c r="AV29" i="24" s="1"/>
  <c r="AW29" i="24" s="1"/>
  <c r="AX29" i="24" s="1"/>
  <c r="AY29" i="24" s="1"/>
  <c r="AZ29" i="24" s="1"/>
  <c r="BA29" i="24" s="1"/>
  <c r="AO29" i="24"/>
  <c r="AP22" i="24"/>
  <c r="AQ22" i="24" s="1"/>
  <c r="AR22" i="24" s="1"/>
  <c r="AS22" i="24" s="1"/>
  <c r="AT22" i="24" s="1"/>
  <c r="AU22" i="24" s="1"/>
  <c r="AV22" i="24" s="1"/>
  <c r="AW22" i="24" s="1"/>
  <c r="AX22" i="24" s="1"/>
  <c r="AY22" i="24" s="1"/>
  <c r="AZ22" i="24" s="1"/>
  <c r="BA22" i="24" s="1"/>
  <c r="AO22" i="24"/>
  <c r="BC36" i="3"/>
  <c r="BD36" i="3"/>
  <c r="BE36" i="3" s="1"/>
  <c r="BF36" i="3" s="1"/>
  <c r="BG36" i="3" s="1"/>
  <c r="BH36" i="3" s="1"/>
  <c r="BI36" i="3" s="1"/>
  <c r="BJ36" i="3" s="1"/>
  <c r="BK36" i="3" s="1"/>
  <c r="BL36" i="3" s="1"/>
  <c r="BM36" i="3" s="1"/>
  <c r="BN36" i="3" s="1"/>
  <c r="BO36" i="3" s="1"/>
  <c r="BP36" i="3" s="1"/>
  <c r="AP6" i="24"/>
  <c r="AQ6" i="24" s="1"/>
  <c r="AR6" i="24" s="1"/>
  <c r="AS6" i="24" s="1"/>
  <c r="AT6" i="24" s="1"/>
  <c r="AU6" i="24" s="1"/>
  <c r="AV6" i="24" s="1"/>
  <c r="AW6" i="24" s="1"/>
  <c r="AX6" i="24" s="1"/>
  <c r="AY6" i="24" s="1"/>
  <c r="AZ6" i="24" s="1"/>
  <c r="BA6" i="24" s="1"/>
  <c r="AO6" i="24"/>
  <c r="AR27" i="3"/>
  <c r="AS27" i="3" s="1"/>
  <c r="AT27" i="3" s="1"/>
  <c r="AU27" i="3" s="1"/>
  <c r="AV27" i="3" s="1"/>
  <c r="AW27" i="3" s="1"/>
  <c r="AX27" i="3" s="1"/>
  <c r="AY27" i="3" s="1"/>
  <c r="AZ27" i="3" s="1"/>
  <c r="BA27" i="3" s="1"/>
  <c r="BB27" i="3" s="1"/>
  <c r="AP21" i="24"/>
  <c r="AQ21" i="24" s="1"/>
  <c r="AR21" i="24" s="1"/>
  <c r="AS21" i="24" s="1"/>
  <c r="AT21" i="24" s="1"/>
  <c r="AU21" i="24" s="1"/>
  <c r="AV21" i="24" s="1"/>
  <c r="AW21" i="24" s="1"/>
  <c r="AX21" i="24" s="1"/>
  <c r="AY21" i="24" s="1"/>
  <c r="AZ21" i="24" s="1"/>
  <c r="BA21" i="24" s="1"/>
  <c r="AO21" i="24"/>
  <c r="AP15" i="24"/>
  <c r="AQ15" i="24" s="1"/>
  <c r="AR15" i="24" s="1"/>
  <c r="AS15" i="24" s="1"/>
  <c r="AT15" i="24" s="1"/>
  <c r="AU15" i="24" s="1"/>
  <c r="AV15" i="24" s="1"/>
  <c r="AW15" i="24" s="1"/>
  <c r="AX15" i="24" s="1"/>
  <c r="AY15" i="24" s="1"/>
  <c r="AZ15" i="24" s="1"/>
  <c r="BA15" i="24" s="1"/>
  <c r="AO15" i="24"/>
  <c r="BL5" i="2"/>
  <c r="AY5" i="2"/>
  <c r="I48" i="3"/>
  <c r="H51" i="3"/>
  <c r="N47" i="3"/>
  <c r="O44" i="3"/>
  <c r="K40" i="3"/>
  <c r="J42" i="3"/>
  <c r="L52" i="3"/>
  <c r="K55" i="3"/>
  <c r="J33" i="3"/>
  <c r="K31" i="3"/>
  <c r="J29" i="3"/>
  <c r="K34" i="3"/>
  <c r="AC7" i="2"/>
  <c r="S20" i="22"/>
  <c r="T20" i="22" s="1"/>
  <c r="R21" i="22" s="1"/>
  <c r="S21" i="22" s="1"/>
  <c r="T21" i="22" s="1"/>
  <c r="R22" i="22" s="1"/>
  <c r="S22" i="22" s="1"/>
  <c r="T22" i="22" s="1"/>
  <c r="R23" i="22" s="1"/>
  <c r="AF7" i="2"/>
  <c r="AG7" i="2" s="1"/>
  <c r="AH7" i="2" s="1"/>
  <c r="AI7" i="2" s="1"/>
  <c r="AJ7" i="2" s="1"/>
  <c r="AK7" i="2" s="1"/>
  <c r="AL7" i="2" s="1"/>
  <c r="AM7" i="2" s="1"/>
  <c r="AN7" i="2" s="1"/>
  <c r="AO7" i="2" s="1"/>
  <c r="G5" i="24"/>
  <c r="G9" i="24" s="1"/>
  <c r="G20" i="24"/>
  <c r="F25" i="24"/>
  <c r="R13" i="24"/>
  <c r="R16" i="24" s="1"/>
  <c r="G10" i="24"/>
  <c r="G12" i="24" s="1"/>
  <c r="I67" i="3"/>
  <c r="D83" i="20"/>
  <c r="D43" i="20"/>
  <c r="AP34" i="20"/>
  <c r="AC34" i="20"/>
  <c r="P34" i="20"/>
  <c r="W12" i="23"/>
  <c r="AC12" i="23" s="1"/>
  <c r="J12" i="23"/>
  <c r="P12" i="23" s="1"/>
  <c r="D15" i="23"/>
  <c r="AC5" i="27" l="1"/>
  <c r="J24" i="27"/>
  <c r="D18" i="27"/>
  <c r="D17" i="27"/>
  <c r="D13" i="27"/>
  <c r="D22" i="27"/>
  <c r="D20" i="27"/>
  <c r="D24" i="27" s="1"/>
  <c r="D16" i="27"/>
  <c r="D14" i="27"/>
  <c r="D23" i="27"/>
  <c r="D12" i="27"/>
  <c r="D15" i="27" s="1"/>
  <c r="D21" i="27"/>
  <c r="J15" i="27"/>
  <c r="J29" i="27" s="1"/>
  <c r="BC5" i="27"/>
  <c r="AE27" i="27"/>
  <c r="AF27" i="27" s="1"/>
  <c r="AG27" i="27" s="1"/>
  <c r="AC27" i="27"/>
  <c r="Q25" i="27"/>
  <c r="BB29" i="24"/>
  <c r="BC29" i="24"/>
  <c r="BD29" i="24" s="1"/>
  <c r="BE29" i="24" s="1"/>
  <c r="BF29" i="24" s="1"/>
  <c r="BG29" i="24" s="1"/>
  <c r="BH29" i="24" s="1"/>
  <c r="BI29" i="24" s="1"/>
  <c r="BJ29" i="24" s="1"/>
  <c r="BK29" i="24" s="1"/>
  <c r="BL29" i="24" s="1"/>
  <c r="BM29" i="24" s="1"/>
  <c r="BN29" i="24" s="1"/>
  <c r="BO29" i="24" s="1"/>
  <c r="AQ17" i="24"/>
  <c r="AT25" i="2"/>
  <c r="BC27" i="3"/>
  <c r="BD27" i="3"/>
  <c r="AX27" i="2"/>
  <c r="BB28" i="24"/>
  <c r="BC28" i="24"/>
  <c r="BD28" i="24" s="1"/>
  <c r="BE28" i="24" s="1"/>
  <c r="BF28" i="24" s="1"/>
  <c r="BG28" i="24" s="1"/>
  <c r="BH28" i="24" s="1"/>
  <c r="BI28" i="24" s="1"/>
  <c r="BJ28" i="24" s="1"/>
  <c r="BK28" i="24" s="1"/>
  <c r="BL28" i="24" s="1"/>
  <c r="BM28" i="24" s="1"/>
  <c r="BN28" i="24" s="1"/>
  <c r="BO28" i="24" s="1"/>
  <c r="BB15" i="24"/>
  <c r="BC15" i="24"/>
  <c r="BD15" i="24" s="1"/>
  <c r="BE15" i="24" s="1"/>
  <c r="BF15" i="24" s="1"/>
  <c r="BG15" i="24" s="1"/>
  <c r="BH15" i="24" s="1"/>
  <c r="BI15" i="24" s="1"/>
  <c r="BJ15" i="24" s="1"/>
  <c r="BK15" i="24" s="1"/>
  <c r="BL15" i="24" s="1"/>
  <c r="BM15" i="24" s="1"/>
  <c r="BN15" i="24" s="1"/>
  <c r="BO15" i="24" s="1"/>
  <c r="BB23" i="24"/>
  <c r="BC23" i="24"/>
  <c r="BD23" i="24" s="1"/>
  <c r="BE23" i="24" s="1"/>
  <c r="BF23" i="24" s="1"/>
  <c r="BG23" i="24" s="1"/>
  <c r="BH23" i="24" s="1"/>
  <c r="BI23" i="24" s="1"/>
  <c r="BJ23" i="24" s="1"/>
  <c r="BK23" i="24" s="1"/>
  <c r="BL23" i="24" s="1"/>
  <c r="BM23" i="24" s="1"/>
  <c r="BN23" i="24" s="1"/>
  <c r="BO23" i="24" s="1"/>
  <c r="BB21" i="24"/>
  <c r="BC21" i="24"/>
  <c r="BD21" i="24" s="1"/>
  <c r="BE21" i="24" s="1"/>
  <c r="BF21" i="24" s="1"/>
  <c r="BG21" i="24" s="1"/>
  <c r="BH21" i="24" s="1"/>
  <c r="BI21" i="24" s="1"/>
  <c r="BJ21" i="24" s="1"/>
  <c r="BK21" i="24" s="1"/>
  <c r="BL21" i="24" s="1"/>
  <c r="BM21" i="24" s="1"/>
  <c r="BN21" i="24" s="1"/>
  <c r="BO21" i="24" s="1"/>
  <c r="BB6" i="24"/>
  <c r="BC6" i="24"/>
  <c r="BD6" i="24" s="1"/>
  <c r="BE6" i="24" s="1"/>
  <c r="BF6" i="24" s="1"/>
  <c r="BG6" i="24" s="1"/>
  <c r="BH6" i="24" s="1"/>
  <c r="BI6" i="24" s="1"/>
  <c r="BJ6" i="24" s="1"/>
  <c r="BK6" i="24" s="1"/>
  <c r="BL6" i="24" s="1"/>
  <c r="BM6" i="24" s="1"/>
  <c r="BN6" i="24" s="1"/>
  <c r="BO6" i="24" s="1"/>
  <c r="BB22" i="24"/>
  <c r="BC22" i="24"/>
  <c r="BD22" i="24" s="1"/>
  <c r="BE22" i="24" s="1"/>
  <c r="BF22" i="24" s="1"/>
  <c r="BG22" i="24" s="1"/>
  <c r="BH22" i="24" s="1"/>
  <c r="BI22" i="24" s="1"/>
  <c r="BJ22" i="24" s="1"/>
  <c r="BK22" i="24" s="1"/>
  <c r="BL22" i="24" s="1"/>
  <c r="BM22" i="24" s="1"/>
  <c r="BN22" i="24" s="1"/>
  <c r="BO22" i="24" s="1"/>
  <c r="BB14" i="24"/>
  <c r="BC14" i="24"/>
  <c r="BB24" i="24"/>
  <c r="BC24" i="24"/>
  <c r="BD24" i="24" s="1"/>
  <c r="BE24" i="24" s="1"/>
  <c r="BF24" i="24" s="1"/>
  <c r="BG24" i="24" s="1"/>
  <c r="BH24" i="24" s="1"/>
  <c r="BI24" i="24" s="1"/>
  <c r="BJ24" i="24" s="1"/>
  <c r="BK24" i="24" s="1"/>
  <c r="BL24" i="24" s="1"/>
  <c r="BM24" i="24" s="1"/>
  <c r="BN24" i="24" s="1"/>
  <c r="BO24" i="24" s="1"/>
  <c r="BB27" i="24"/>
  <c r="BC27" i="24"/>
  <c r="BD27" i="24" s="1"/>
  <c r="BE27" i="24" s="1"/>
  <c r="BF27" i="24" s="1"/>
  <c r="BG27" i="24" s="1"/>
  <c r="BH27" i="24" s="1"/>
  <c r="BI27" i="24" s="1"/>
  <c r="BJ27" i="24" s="1"/>
  <c r="BK27" i="24" s="1"/>
  <c r="BL27" i="24" s="1"/>
  <c r="BM27" i="24" s="1"/>
  <c r="BN27" i="24" s="1"/>
  <c r="BO27" i="24" s="1"/>
  <c r="BM5" i="2"/>
  <c r="AZ5" i="2"/>
  <c r="P44" i="3"/>
  <c r="O47" i="3"/>
  <c r="Q44" i="3"/>
  <c r="K29" i="3"/>
  <c r="J30" i="3"/>
  <c r="M52" i="3"/>
  <c r="L55" i="3"/>
  <c r="I51" i="3"/>
  <c r="J48" i="3"/>
  <c r="L40" i="3"/>
  <c r="K42" i="3"/>
  <c r="L34" i="3"/>
  <c r="L31" i="3"/>
  <c r="AP7" i="2"/>
  <c r="H5" i="24"/>
  <c r="H9" i="24" s="1"/>
  <c r="S13" i="24"/>
  <c r="T13" i="24" s="1"/>
  <c r="G25" i="24"/>
  <c r="H20" i="24"/>
  <c r="H10" i="24"/>
  <c r="H12" i="24" s="1"/>
  <c r="J67" i="3"/>
  <c r="S23" i="22"/>
  <c r="T23" i="22" s="1"/>
  <c r="R24" i="22" s="1"/>
  <c r="P6" i="20"/>
  <c r="P8" i="20"/>
  <c r="P14" i="20"/>
  <c r="P15" i="20"/>
  <c r="P18" i="20"/>
  <c r="P19" i="20"/>
  <c r="P27" i="20"/>
  <c r="P36" i="20"/>
  <c r="P44" i="20"/>
  <c r="P46" i="20"/>
  <c r="P47" i="20"/>
  <c r="P48" i="20"/>
  <c r="P49" i="20"/>
  <c r="P61" i="20"/>
  <c r="P79" i="20"/>
  <c r="AC61" i="20"/>
  <c r="AC6" i="20"/>
  <c r="AC8" i="20"/>
  <c r="AC14" i="20"/>
  <c r="AC15" i="20"/>
  <c r="AC18" i="20"/>
  <c r="AC19" i="20"/>
  <c r="AC27" i="20"/>
  <c r="AC36" i="20"/>
  <c r="AC46" i="20"/>
  <c r="AC47" i="20"/>
  <c r="AC48" i="20"/>
  <c r="AC49" i="20"/>
  <c r="AC79" i="20"/>
  <c r="AP61" i="20"/>
  <c r="AP79" i="20"/>
  <c r="AP49" i="20"/>
  <c r="AP48" i="20"/>
  <c r="AP47" i="20"/>
  <c r="AP46" i="20"/>
  <c r="AP36" i="20"/>
  <c r="AP27" i="20"/>
  <c r="AP19" i="20"/>
  <c r="AP18" i="20"/>
  <c r="AP15" i="20"/>
  <c r="AP14" i="20"/>
  <c r="AP8" i="20"/>
  <c r="AP6" i="20"/>
  <c r="E43" i="20"/>
  <c r="F43" i="20" s="1"/>
  <c r="G43" i="20" s="1"/>
  <c r="H43" i="20" s="1"/>
  <c r="S5" i="23"/>
  <c r="T5" i="23" s="1"/>
  <c r="U5" i="23" s="1"/>
  <c r="V5" i="23" s="1"/>
  <c r="W5" i="23" s="1"/>
  <c r="X5" i="23" s="1"/>
  <c r="Y5" i="23" s="1"/>
  <c r="Z5" i="23" s="1"/>
  <c r="AA5" i="23" s="1"/>
  <c r="E4" i="2"/>
  <c r="F4" i="2" s="1"/>
  <c r="G4" i="2" s="1"/>
  <c r="H4" i="2" s="1"/>
  <c r="I4" i="2" s="1"/>
  <c r="J4" i="2" s="1"/>
  <c r="K4" i="2" s="1"/>
  <c r="L4" i="2" s="1"/>
  <c r="M4" i="2" s="1"/>
  <c r="N4" i="2" s="1"/>
  <c r="O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E62" i="3"/>
  <c r="F62" i="3" s="1"/>
  <c r="G62" i="3" s="1"/>
  <c r="H62" i="3" s="1"/>
  <c r="I62" i="3" s="1"/>
  <c r="J62" i="3" s="1"/>
  <c r="K62" i="3" s="1"/>
  <c r="L62" i="3" s="1"/>
  <c r="M62" i="3" s="1"/>
  <c r="N62" i="3" s="1"/>
  <c r="O62" i="3" s="1"/>
  <c r="D19" i="27" l="1"/>
  <c r="D29" i="27" s="1"/>
  <c r="AH27" i="27"/>
  <c r="AI27" i="27" s="1"/>
  <c r="AJ27" i="27" s="1"/>
  <c r="R25" i="27"/>
  <c r="BD14" i="24"/>
  <c r="BE14" i="24" s="1"/>
  <c r="BF14" i="24" s="1"/>
  <c r="BG14" i="24" s="1"/>
  <c r="BH14" i="24" s="1"/>
  <c r="BI14" i="24" s="1"/>
  <c r="BJ14" i="24" s="1"/>
  <c r="BK14" i="24" s="1"/>
  <c r="BL14" i="24" s="1"/>
  <c r="BM14" i="24" s="1"/>
  <c r="BN14" i="24" s="1"/>
  <c r="BO14" i="24" s="1"/>
  <c r="BE27" i="3"/>
  <c r="BF27" i="3" s="1"/>
  <c r="BG27" i="3" s="1"/>
  <c r="BH27" i="3" s="1"/>
  <c r="BI27" i="3" s="1"/>
  <c r="BJ27" i="3" s="1"/>
  <c r="BK27" i="3" s="1"/>
  <c r="BL27" i="3" s="1"/>
  <c r="BM27" i="3" s="1"/>
  <c r="BN27" i="3" s="1"/>
  <c r="BO27" i="3" s="1"/>
  <c r="BP27" i="3" s="1"/>
  <c r="AR17" i="24"/>
  <c r="AY27" i="2"/>
  <c r="AZ27" i="2" s="1"/>
  <c r="AU25" i="2"/>
  <c r="BN5" i="2"/>
  <c r="BA5" i="2"/>
  <c r="S16" i="24"/>
  <c r="M34" i="3"/>
  <c r="L29" i="3"/>
  <c r="M31" i="3"/>
  <c r="M40" i="3"/>
  <c r="L42" i="3"/>
  <c r="M55" i="3"/>
  <c r="N52" i="3"/>
  <c r="Q47" i="3"/>
  <c r="R44" i="3"/>
  <c r="K48" i="3"/>
  <c r="J51" i="3"/>
  <c r="AE5" i="23"/>
  <c r="AF5" i="23" s="1"/>
  <c r="AG5" i="23" s="1"/>
  <c r="AH5" i="23" s="1"/>
  <c r="AI5" i="23" s="1"/>
  <c r="AJ5" i="23" s="1"/>
  <c r="AK5" i="23" s="1"/>
  <c r="AL5" i="23" s="1"/>
  <c r="AM5" i="23" s="1"/>
  <c r="AN5" i="23" s="1"/>
  <c r="AO5" i="23" s="1"/>
  <c r="AQ5" i="23" s="1"/>
  <c r="AB5" i="23"/>
  <c r="I5" i="24"/>
  <c r="I9" i="24" s="1"/>
  <c r="H25" i="24"/>
  <c r="I20" i="24"/>
  <c r="U13" i="24"/>
  <c r="T16" i="24"/>
  <c r="I10" i="24"/>
  <c r="I12" i="24" s="1"/>
  <c r="K67" i="3"/>
  <c r="S24" i="22"/>
  <c r="T24" i="22" s="1"/>
  <c r="R25" i="22" s="1"/>
  <c r="Q62" i="3"/>
  <c r="R62" i="3" s="1"/>
  <c r="S62" i="3" s="1"/>
  <c r="T62" i="3" s="1"/>
  <c r="U62" i="3" s="1"/>
  <c r="V62" i="3" s="1"/>
  <c r="W62" i="3" s="1"/>
  <c r="X62" i="3" s="1"/>
  <c r="Y62" i="3" s="1"/>
  <c r="Z62" i="3" s="1"/>
  <c r="AA62" i="3" s="1"/>
  <c r="AB62" i="3" s="1"/>
  <c r="I43" i="20"/>
  <c r="S2" i="20"/>
  <c r="T2" i="20" s="1"/>
  <c r="U2" i="20" s="1"/>
  <c r="V2" i="20" s="1"/>
  <c r="W2" i="20" s="1"/>
  <c r="X2" i="20" s="1"/>
  <c r="Y2" i="20" s="1"/>
  <c r="Z2" i="20" s="1"/>
  <c r="AA2" i="20" s="1"/>
  <c r="M8" i="22"/>
  <c r="H8" i="22"/>
  <c r="A15" i="22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C8" i="22"/>
  <c r="S25" i="27" l="1"/>
  <c r="AK27" i="27"/>
  <c r="B50" i="22"/>
  <c r="BA27" i="2"/>
  <c r="BB27" i="2" s="1"/>
  <c r="BD27" i="2" s="1"/>
  <c r="G44" i="22"/>
  <c r="AS17" i="24"/>
  <c r="L44" i="22"/>
  <c r="AV25" i="2"/>
  <c r="AR5" i="23"/>
  <c r="BO5" i="2"/>
  <c r="BB5" i="2"/>
  <c r="N40" i="3"/>
  <c r="M42" i="3"/>
  <c r="N55" i="3"/>
  <c r="O52" i="3"/>
  <c r="N31" i="3"/>
  <c r="L48" i="3"/>
  <c r="K51" i="3"/>
  <c r="N34" i="3"/>
  <c r="S44" i="3"/>
  <c r="R47" i="3"/>
  <c r="M29" i="3"/>
  <c r="A58" i="22"/>
  <c r="L58" i="22" s="1"/>
  <c r="G57" i="22"/>
  <c r="L57" i="22"/>
  <c r="J5" i="24"/>
  <c r="J9" i="24" s="1"/>
  <c r="B48" i="22"/>
  <c r="B44" i="22"/>
  <c r="B40" i="22"/>
  <c r="B49" i="22"/>
  <c r="B41" i="22"/>
  <c r="B47" i="22"/>
  <c r="B43" i="22"/>
  <c r="B39" i="22"/>
  <c r="B46" i="22"/>
  <c r="B42" i="22"/>
  <c r="B45" i="22"/>
  <c r="G54" i="22"/>
  <c r="G50" i="22"/>
  <c r="G46" i="22"/>
  <c r="G51" i="22"/>
  <c r="G53" i="22"/>
  <c r="G49" i="22"/>
  <c r="G45" i="22"/>
  <c r="G56" i="22"/>
  <c r="G52" i="22"/>
  <c r="G48" i="22"/>
  <c r="G55" i="22"/>
  <c r="G47" i="22"/>
  <c r="I25" i="24"/>
  <c r="J20" i="24"/>
  <c r="V13" i="24"/>
  <c r="U16" i="24"/>
  <c r="J10" i="24"/>
  <c r="J12" i="24" s="1"/>
  <c r="L67" i="3"/>
  <c r="D9" i="23"/>
  <c r="B37" i="22"/>
  <c r="B33" i="22"/>
  <c r="B29" i="22"/>
  <c r="B25" i="22"/>
  <c r="B21" i="22"/>
  <c r="B17" i="22"/>
  <c r="B36" i="22"/>
  <c r="B32" i="22"/>
  <c r="B28" i="22"/>
  <c r="B24" i="22"/>
  <c r="B20" i="22"/>
  <c r="B16" i="22"/>
  <c r="B22" i="22"/>
  <c r="B35" i="22"/>
  <c r="B31" i="22"/>
  <c r="B27" i="22"/>
  <c r="B23" i="22"/>
  <c r="B19" i="22"/>
  <c r="B15" i="22"/>
  <c r="B38" i="22"/>
  <c r="B34" i="22"/>
  <c r="B30" i="22"/>
  <c r="B26" i="22"/>
  <c r="B18" i="22"/>
  <c r="G40" i="22"/>
  <c r="G36" i="22"/>
  <c r="G32" i="22"/>
  <c r="V32" i="22" s="1"/>
  <c r="G28" i="22"/>
  <c r="G24" i="22"/>
  <c r="G43" i="22"/>
  <c r="G39" i="22"/>
  <c r="G35" i="22"/>
  <c r="G31" i="22"/>
  <c r="G27" i="22"/>
  <c r="G23" i="22"/>
  <c r="G42" i="22"/>
  <c r="G38" i="22"/>
  <c r="G34" i="22"/>
  <c r="G30" i="22"/>
  <c r="G26" i="22"/>
  <c r="G22" i="22"/>
  <c r="G41" i="22"/>
  <c r="G37" i="22"/>
  <c r="G33" i="22"/>
  <c r="G29" i="22"/>
  <c r="G25" i="22"/>
  <c r="G21" i="22"/>
  <c r="L37" i="22"/>
  <c r="L52" i="22"/>
  <c r="L40" i="22"/>
  <c r="L55" i="22"/>
  <c r="L51" i="22"/>
  <c r="L47" i="22"/>
  <c r="L43" i="22"/>
  <c r="L39" i="22"/>
  <c r="L35" i="22"/>
  <c r="L54" i="22"/>
  <c r="L50" i="22"/>
  <c r="L46" i="22"/>
  <c r="L42" i="22"/>
  <c r="L38" i="22"/>
  <c r="L34" i="22"/>
  <c r="L53" i="22"/>
  <c r="L49" i="22"/>
  <c r="L45" i="22"/>
  <c r="L41" i="22"/>
  <c r="L33" i="22"/>
  <c r="L56" i="22"/>
  <c r="L48" i="22"/>
  <c r="L36" i="22"/>
  <c r="O32" i="22"/>
  <c r="M33" i="22" s="1"/>
  <c r="S25" i="22"/>
  <c r="T25" i="22" s="1"/>
  <c r="R26" i="22" s="1"/>
  <c r="J20" i="22"/>
  <c r="H21" i="22" s="1"/>
  <c r="J9" i="23"/>
  <c r="W9" i="23"/>
  <c r="AC9" i="23" s="1"/>
  <c r="AD62" i="3"/>
  <c r="AE62" i="3" s="1"/>
  <c r="AF62" i="3" s="1"/>
  <c r="AG62" i="3" s="1"/>
  <c r="AH62" i="3" s="1"/>
  <c r="AI62" i="3" s="1"/>
  <c r="AJ62" i="3" s="1"/>
  <c r="AK62" i="3" s="1"/>
  <c r="AL62" i="3" s="1"/>
  <c r="AM62" i="3" s="1"/>
  <c r="AN62" i="3" s="1"/>
  <c r="AO62" i="3" s="1"/>
  <c r="AQ62" i="3" s="1"/>
  <c r="AB2" i="20"/>
  <c r="AD2" i="20" s="1"/>
  <c r="AE2" i="20" s="1"/>
  <c r="AF2" i="20" s="1"/>
  <c r="AG2" i="20" s="1"/>
  <c r="AH2" i="20" s="1"/>
  <c r="AI2" i="20" s="1"/>
  <c r="AJ2" i="20" s="1"/>
  <c r="AK2" i="20" s="1"/>
  <c r="AL2" i="20" s="1"/>
  <c r="AM2" i="20" s="1"/>
  <c r="AN2" i="20" s="1"/>
  <c r="AO2" i="20" s="1"/>
  <c r="AQ2" i="20" s="1"/>
  <c r="AR2" i="20" s="1"/>
  <c r="AS2" i="20" s="1"/>
  <c r="AT2" i="20" s="1"/>
  <c r="AU2" i="20" s="1"/>
  <c r="AV2" i="20" s="1"/>
  <c r="AW2" i="20" s="1"/>
  <c r="AX2" i="20" s="1"/>
  <c r="AY2" i="20" s="1"/>
  <c r="AZ2" i="20" s="1"/>
  <c r="BA2" i="20" s="1"/>
  <c r="BB2" i="20" s="1"/>
  <c r="BD2" i="20" s="1"/>
  <c r="BE2" i="20" s="1"/>
  <c r="BF2" i="20" s="1"/>
  <c r="BG2" i="20" s="1"/>
  <c r="BH2" i="20" s="1"/>
  <c r="BI2" i="20" s="1"/>
  <c r="BJ2" i="20" s="1"/>
  <c r="BK2" i="20" s="1"/>
  <c r="BL2" i="20" s="1"/>
  <c r="BM2" i="20" s="1"/>
  <c r="BN2" i="20" s="1"/>
  <c r="BO2" i="20" s="1"/>
  <c r="J43" i="20"/>
  <c r="E14" i="22"/>
  <c r="Y14" i="22" s="1"/>
  <c r="D33" i="20" s="1"/>
  <c r="E8" i="2"/>
  <c r="E6" i="2"/>
  <c r="E5" i="2"/>
  <c r="V95" i="19"/>
  <c r="U95" i="19"/>
  <c r="T95" i="19"/>
  <c r="S95" i="19"/>
  <c r="R95" i="19"/>
  <c r="Q95" i="19"/>
  <c r="P95" i="19"/>
  <c r="O95" i="19"/>
  <c r="N95" i="19"/>
  <c r="M95" i="19"/>
  <c r="L95" i="19"/>
  <c r="K95" i="19"/>
  <c r="V94" i="19"/>
  <c r="U94" i="19"/>
  <c r="T94" i="19"/>
  <c r="S94" i="19"/>
  <c r="R94" i="19"/>
  <c r="Q94" i="19"/>
  <c r="P94" i="19"/>
  <c r="O94" i="19"/>
  <c r="N94" i="19"/>
  <c r="M94" i="19"/>
  <c r="L94" i="19"/>
  <c r="K94" i="19"/>
  <c r="V93" i="19"/>
  <c r="U93" i="19"/>
  <c r="T93" i="19"/>
  <c r="S93" i="19"/>
  <c r="R93" i="19"/>
  <c r="Q93" i="19"/>
  <c r="P93" i="19"/>
  <c r="O93" i="19"/>
  <c r="N93" i="19"/>
  <c r="M93" i="19"/>
  <c r="L93" i="19"/>
  <c r="K93" i="19"/>
  <c r="V92" i="19"/>
  <c r="U92" i="19"/>
  <c r="T92" i="19"/>
  <c r="S92" i="19"/>
  <c r="R92" i="19"/>
  <c r="Q92" i="19"/>
  <c r="P92" i="19"/>
  <c r="O92" i="19"/>
  <c r="N92" i="19"/>
  <c r="M92" i="19"/>
  <c r="L92" i="19"/>
  <c r="K92" i="19"/>
  <c r="V91" i="19"/>
  <c r="U91" i="19"/>
  <c r="T91" i="19"/>
  <c r="S91" i="19"/>
  <c r="R91" i="19"/>
  <c r="Q91" i="19"/>
  <c r="P91" i="19"/>
  <c r="O91" i="19"/>
  <c r="N91" i="19"/>
  <c r="M91" i="19"/>
  <c r="L91" i="19"/>
  <c r="K91" i="19"/>
  <c r="V90" i="19"/>
  <c r="U90" i="19"/>
  <c r="T90" i="19"/>
  <c r="S90" i="19"/>
  <c r="R90" i="19"/>
  <c r="Q90" i="19"/>
  <c r="P90" i="19"/>
  <c r="O90" i="19"/>
  <c r="N90" i="19"/>
  <c r="M90" i="19"/>
  <c r="L90" i="19"/>
  <c r="K90" i="19"/>
  <c r="V89" i="19"/>
  <c r="U89" i="19"/>
  <c r="T89" i="19"/>
  <c r="S89" i="19"/>
  <c r="R89" i="19"/>
  <c r="Q89" i="19"/>
  <c r="P89" i="19"/>
  <c r="O89" i="19"/>
  <c r="N89" i="19"/>
  <c r="M89" i="19"/>
  <c r="L89" i="19"/>
  <c r="K89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W82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W64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W46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V37" i="19"/>
  <c r="V40" i="19" s="1"/>
  <c r="U37" i="19"/>
  <c r="U40" i="19" s="1"/>
  <c r="T37" i="19"/>
  <c r="T40" i="19" s="1"/>
  <c r="S37" i="19"/>
  <c r="S40" i="19" s="1"/>
  <c r="R37" i="19"/>
  <c r="R40" i="19" s="1"/>
  <c r="Q37" i="19"/>
  <c r="Q40" i="19" s="1"/>
  <c r="P37" i="19"/>
  <c r="P40" i="19" s="1"/>
  <c r="O37" i="19"/>
  <c r="O40" i="19" s="1"/>
  <c r="N37" i="19"/>
  <c r="N40" i="19" s="1"/>
  <c r="M37" i="19"/>
  <c r="M40" i="19" s="1"/>
  <c r="L37" i="19"/>
  <c r="L40" i="19" s="1"/>
  <c r="K37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W27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D13" i="19"/>
  <c r="D14" i="19" s="1"/>
  <c r="V12" i="19"/>
  <c r="U12" i="19"/>
  <c r="T12" i="19"/>
  <c r="S12" i="19"/>
  <c r="R12" i="19"/>
  <c r="Q12" i="19"/>
  <c r="P12" i="19"/>
  <c r="O12" i="19"/>
  <c r="N12" i="19"/>
  <c r="M12" i="19"/>
  <c r="L12" i="19"/>
  <c r="K12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D10" i="19"/>
  <c r="D11" i="19" s="1"/>
  <c r="W9" i="19"/>
  <c r="D7" i="19"/>
  <c r="AL27" i="27" l="1"/>
  <c r="AM27" i="27" s="1"/>
  <c r="T25" i="27"/>
  <c r="V54" i="22"/>
  <c r="AU15" i="23" s="1"/>
  <c r="V52" i="22"/>
  <c r="AS15" i="23" s="1"/>
  <c r="V24" i="22"/>
  <c r="AR62" i="3"/>
  <c r="AT17" i="24"/>
  <c r="AW25" i="2"/>
  <c r="BC27" i="2"/>
  <c r="BE27" i="2"/>
  <c r="BF27" i="2" s="1"/>
  <c r="BG27" i="2" s="1"/>
  <c r="V50" i="22"/>
  <c r="AQ15" i="23" s="1"/>
  <c r="AS5" i="23"/>
  <c r="BP5" i="2"/>
  <c r="BC5" i="2"/>
  <c r="T44" i="3"/>
  <c r="S47" i="3"/>
  <c r="M48" i="3"/>
  <c r="L51" i="3"/>
  <c r="O34" i="3"/>
  <c r="O31" i="3"/>
  <c r="N42" i="3"/>
  <c r="O40" i="3"/>
  <c r="N29" i="3"/>
  <c r="Q52" i="3"/>
  <c r="P52" i="3"/>
  <c r="O55" i="3"/>
  <c r="V57" i="22"/>
  <c r="AX15" i="23" s="1"/>
  <c r="W13" i="19"/>
  <c r="W16" i="19"/>
  <c r="W18" i="19"/>
  <c r="W19" i="19"/>
  <c r="W20" i="19"/>
  <c r="W21" i="19"/>
  <c r="W47" i="19"/>
  <c r="W48" i="19"/>
  <c r="W49" i="19"/>
  <c r="W50" i="19"/>
  <c r="W53" i="19"/>
  <c r="W54" i="19"/>
  <c r="W55" i="19"/>
  <c r="W56" i="19"/>
  <c r="W57" i="19"/>
  <c r="W58" i="19"/>
  <c r="W59" i="19"/>
  <c r="F5" i="2"/>
  <c r="G5" i="2" s="1"/>
  <c r="H5" i="2" s="1"/>
  <c r="I5" i="2" s="1"/>
  <c r="J5" i="2" s="1"/>
  <c r="K5" i="2" s="1"/>
  <c r="L5" i="2" s="1"/>
  <c r="M5" i="2" s="1"/>
  <c r="N5" i="2" s="1"/>
  <c r="O5" i="2" s="1"/>
  <c r="W17" i="19"/>
  <c r="W22" i="19"/>
  <c r="F6" i="2"/>
  <c r="G6" i="2" s="1"/>
  <c r="H6" i="2" s="1"/>
  <c r="I6" i="2" s="1"/>
  <c r="J6" i="2" s="1"/>
  <c r="K6" i="2" s="1"/>
  <c r="L6" i="2" s="1"/>
  <c r="M6" i="2" s="1"/>
  <c r="N6" i="2" s="1"/>
  <c r="O6" i="2" s="1"/>
  <c r="A59" i="22"/>
  <c r="G58" i="22"/>
  <c r="V58" i="22" s="1"/>
  <c r="AY15" i="23" s="1"/>
  <c r="V53" i="22"/>
  <c r="AT15" i="23" s="1"/>
  <c r="D10" i="23"/>
  <c r="P9" i="23"/>
  <c r="V27" i="22"/>
  <c r="R15" i="23" s="1"/>
  <c r="K5" i="24"/>
  <c r="K9" i="24" s="1"/>
  <c r="V49" i="22"/>
  <c r="AO15" i="23" s="1"/>
  <c r="V55" i="22"/>
  <c r="AV15" i="23" s="1"/>
  <c r="N33" i="22"/>
  <c r="O33" i="22" s="1"/>
  <c r="M34" i="22" s="1"/>
  <c r="N34" i="22" s="1"/>
  <c r="O34" i="22" s="1"/>
  <c r="V46" i="22"/>
  <c r="AL15" i="23" s="1"/>
  <c r="V47" i="22"/>
  <c r="AM15" i="23" s="1"/>
  <c r="I32" i="24"/>
  <c r="K20" i="24"/>
  <c r="J25" i="24"/>
  <c r="K10" i="24"/>
  <c r="K12" i="24" s="1"/>
  <c r="W13" i="24"/>
  <c r="V16" i="24"/>
  <c r="M67" i="3"/>
  <c r="V21" i="22"/>
  <c r="K15" i="23" s="1"/>
  <c r="V30" i="22"/>
  <c r="U15" i="23" s="1"/>
  <c r="V37" i="22"/>
  <c r="AB15" i="23" s="1"/>
  <c r="V34" i="22"/>
  <c r="Y15" i="23" s="1"/>
  <c r="V23" i="22"/>
  <c r="M15" i="23" s="1"/>
  <c r="V39" i="22"/>
  <c r="AE15" i="23" s="1"/>
  <c r="V26" i="22"/>
  <c r="Q15" i="23" s="1"/>
  <c r="V42" i="22"/>
  <c r="AH15" i="23" s="1"/>
  <c r="V43" i="22"/>
  <c r="AI15" i="23" s="1"/>
  <c r="V56" i="22"/>
  <c r="AW15" i="23" s="1"/>
  <c r="V33" i="22"/>
  <c r="X15" i="23" s="1"/>
  <c r="V40" i="22"/>
  <c r="AF15" i="23" s="1"/>
  <c r="V48" i="22"/>
  <c r="AN15" i="23" s="1"/>
  <c r="V51" i="22"/>
  <c r="AR15" i="23" s="1"/>
  <c r="V25" i="22"/>
  <c r="O15" i="23" s="1"/>
  <c r="V41" i="22"/>
  <c r="AG15" i="23" s="1"/>
  <c r="V28" i="22"/>
  <c r="S15" i="23" s="1"/>
  <c r="V36" i="22"/>
  <c r="AA15" i="23" s="1"/>
  <c r="V44" i="22"/>
  <c r="AJ15" i="23" s="1"/>
  <c r="V31" i="22"/>
  <c r="V15" i="23" s="1"/>
  <c r="V45" i="22"/>
  <c r="AK15" i="23" s="1"/>
  <c r="V29" i="22"/>
  <c r="T15" i="23" s="1"/>
  <c r="V22" i="22"/>
  <c r="L15" i="23" s="1"/>
  <c r="V38" i="22"/>
  <c r="AD15" i="23" s="1"/>
  <c r="V35" i="22"/>
  <c r="Z15" i="23" s="1"/>
  <c r="V17" i="22"/>
  <c r="G15" i="23" s="1"/>
  <c r="V18" i="22"/>
  <c r="H15" i="23" s="1"/>
  <c r="V20" i="22"/>
  <c r="J15" i="23" s="1"/>
  <c r="V15" i="22"/>
  <c r="E15" i="23" s="1"/>
  <c r="V16" i="22"/>
  <c r="F15" i="23" s="1"/>
  <c r="V19" i="22"/>
  <c r="I15" i="23" s="1"/>
  <c r="S26" i="22"/>
  <c r="T26" i="22" s="1"/>
  <c r="R27" i="22" s="1"/>
  <c r="F8" i="2"/>
  <c r="W28" i="19"/>
  <c r="W29" i="19"/>
  <c r="W31" i="19"/>
  <c r="W34" i="19"/>
  <c r="W35" i="19"/>
  <c r="W37" i="19"/>
  <c r="W38" i="19"/>
  <c r="W65" i="19"/>
  <c r="W66" i="19"/>
  <c r="W68" i="19"/>
  <c r="W72" i="19"/>
  <c r="W74" i="19"/>
  <c r="W75" i="19"/>
  <c r="W77" i="19"/>
  <c r="W10" i="19"/>
  <c r="W11" i="19"/>
  <c r="W12" i="19"/>
  <c r="W30" i="19"/>
  <c r="W36" i="19"/>
  <c r="W39" i="19"/>
  <c r="K40" i="19"/>
  <c r="W67" i="19"/>
  <c r="W71" i="19"/>
  <c r="W73" i="19"/>
  <c r="W76" i="19"/>
  <c r="W83" i="19"/>
  <c r="W84" i="19"/>
  <c r="W85" i="19"/>
  <c r="W86" i="19"/>
  <c r="W89" i="19"/>
  <c r="W90" i="19"/>
  <c r="W91" i="19"/>
  <c r="W92" i="19"/>
  <c r="W93" i="19"/>
  <c r="W94" i="19"/>
  <c r="W95" i="19"/>
  <c r="C15" i="22"/>
  <c r="K43" i="20"/>
  <c r="N15" i="23"/>
  <c r="W15" i="23"/>
  <c r="R6" i="2"/>
  <c r="R5" i="2"/>
  <c r="W40" i="19"/>
  <c r="W32" i="19" l="1"/>
  <c r="AN27" i="27"/>
  <c r="U25" i="27"/>
  <c r="W87" i="19"/>
  <c r="W51" i="19"/>
  <c r="BH27" i="2"/>
  <c r="BI27" i="2" s="1"/>
  <c r="BJ27" i="2" s="1"/>
  <c r="AU17" i="24"/>
  <c r="W14" i="19"/>
  <c r="AX25" i="2"/>
  <c r="AS62" i="3"/>
  <c r="AT5" i="23"/>
  <c r="P31" i="3"/>
  <c r="Q31" i="3"/>
  <c r="Q55" i="3"/>
  <c r="R52" i="3"/>
  <c r="Q34" i="3"/>
  <c r="P34" i="3"/>
  <c r="U44" i="3"/>
  <c r="T47" i="3"/>
  <c r="O29" i="3"/>
  <c r="M51" i="3"/>
  <c r="N48" i="3"/>
  <c r="P40" i="3"/>
  <c r="O42" i="3"/>
  <c r="P42" i="3" s="1"/>
  <c r="Q40" i="3"/>
  <c r="S5" i="2"/>
  <c r="T5" i="2" s="1"/>
  <c r="U5" i="2" s="1"/>
  <c r="W41" i="19"/>
  <c r="S6" i="2"/>
  <c r="T6" i="2" s="1"/>
  <c r="U6" i="2" s="1"/>
  <c r="V6" i="2" s="1"/>
  <c r="W6" i="2" s="1"/>
  <c r="X6" i="2" s="1"/>
  <c r="Y6" i="2" s="1"/>
  <c r="Z6" i="2" s="1"/>
  <c r="AA6" i="2" s="1"/>
  <c r="AB6" i="2" s="1"/>
  <c r="A60" i="22"/>
  <c r="G59" i="22"/>
  <c r="L59" i="22"/>
  <c r="W23" i="19"/>
  <c r="P6" i="2"/>
  <c r="P5" i="2"/>
  <c r="P15" i="23"/>
  <c r="AP15" i="23"/>
  <c r="AC15" i="23"/>
  <c r="L5" i="24"/>
  <c r="L9" i="24" s="1"/>
  <c r="K25" i="24"/>
  <c r="L20" i="24"/>
  <c r="L10" i="24"/>
  <c r="L12" i="24" s="1"/>
  <c r="X13" i="24"/>
  <c r="W16" i="24"/>
  <c r="N67" i="3"/>
  <c r="M35" i="22"/>
  <c r="N35" i="22" s="1"/>
  <c r="O35" i="22" s="1"/>
  <c r="D15" i="22"/>
  <c r="X15" i="22" s="1"/>
  <c r="W15" i="22"/>
  <c r="E81" i="20" s="1"/>
  <c r="E83" i="20" s="1"/>
  <c r="S27" i="22"/>
  <c r="T27" i="22" s="1"/>
  <c r="R28" i="22" s="1"/>
  <c r="G8" i="2"/>
  <c r="W78" i="19"/>
  <c r="W69" i="19"/>
  <c r="L43" i="20"/>
  <c r="AE6" i="2"/>
  <c r="AO27" i="27" l="1"/>
  <c r="AQ27" i="27" s="1"/>
  <c r="AP27" i="27"/>
  <c r="V25" i="27"/>
  <c r="AY25" i="2"/>
  <c r="AT62" i="3"/>
  <c r="BK27" i="2"/>
  <c r="BL27" i="2" s="1"/>
  <c r="BM27" i="2" s="1"/>
  <c r="AV17" i="24"/>
  <c r="AU5" i="23"/>
  <c r="O48" i="3"/>
  <c r="N51" i="3"/>
  <c r="R34" i="3"/>
  <c r="R40" i="3"/>
  <c r="Q42" i="3"/>
  <c r="U47" i="3"/>
  <c r="V44" i="3"/>
  <c r="S52" i="3"/>
  <c r="R55" i="3"/>
  <c r="P29" i="3"/>
  <c r="Q29" i="3"/>
  <c r="R31" i="3"/>
  <c r="AC6" i="2"/>
  <c r="V59" i="22"/>
  <c r="AZ15" i="23" s="1"/>
  <c r="AF6" i="2"/>
  <c r="AG6" i="2" s="1"/>
  <c r="AH6" i="2" s="1"/>
  <c r="AI6" i="2" s="1"/>
  <c r="AJ6" i="2" s="1"/>
  <c r="AK6" i="2" s="1"/>
  <c r="AL6" i="2" s="1"/>
  <c r="AM6" i="2" s="1"/>
  <c r="AN6" i="2" s="1"/>
  <c r="AO6" i="2" s="1"/>
  <c r="A61" i="22"/>
  <c r="G60" i="22"/>
  <c r="L60" i="22"/>
  <c r="M5" i="24"/>
  <c r="M9" i="24" s="1"/>
  <c r="L25" i="24"/>
  <c r="M20" i="24"/>
  <c r="M10" i="24"/>
  <c r="M12" i="24" s="1"/>
  <c r="Y13" i="24"/>
  <c r="X16" i="24"/>
  <c r="O67" i="3"/>
  <c r="M36" i="22"/>
  <c r="N36" i="22" s="1"/>
  <c r="O36" i="22" s="1"/>
  <c r="E15" i="22"/>
  <c r="C16" i="22" s="1"/>
  <c r="W16" i="22" s="1"/>
  <c r="F81" i="20" s="1"/>
  <c r="F83" i="20" s="1"/>
  <c r="S28" i="22"/>
  <c r="T28" i="22" s="1"/>
  <c r="R29" i="22" s="1"/>
  <c r="H8" i="2"/>
  <c r="M43" i="20"/>
  <c r="V5" i="2"/>
  <c r="D19" i="3"/>
  <c r="E23" i="3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D21" i="3"/>
  <c r="E20" i="3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E18" i="3"/>
  <c r="F18" i="3" s="1"/>
  <c r="E17" i="3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E16" i="3"/>
  <c r="E12" i="3"/>
  <c r="F12" i="3" s="1"/>
  <c r="E9" i="3"/>
  <c r="E69" i="3" s="1"/>
  <c r="E5" i="3"/>
  <c r="H9" i="1"/>
  <c r="N7" i="1"/>
  <c r="O7" i="1" s="1"/>
  <c r="P7" i="1" s="1"/>
  <c r="Q7" i="1" s="1"/>
  <c r="R7" i="1" s="1"/>
  <c r="H8" i="1"/>
  <c r="H7" i="1"/>
  <c r="H6" i="1"/>
  <c r="AA5" i="1"/>
  <c r="N5" i="1"/>
  <c r="H5" i="1"/>
  <c r="H4" i="1"/>
  <c r="I4" i="1" s="1"/>
  <c r="J4" i="1" s="1"/>
  <c r="K4" i="1" s="1"/>
  <c r="L4" i="1" s="1"/>
  <c r="M4" i="1" s="1"/>
  <c r="N4" i="1" s="1"/>
  <c r="O4" i="1" s="1"/>
  <c r="P4" i="1" s="1"/>
  <c r="Q4" i="1" s="1"/>
  <c r="R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G10" i="1"/>
  <c r="W25" i="27" l="1"/>
  <c r="AR27" i="27"/>
  <c r="AS27" i="27" s="1"/>
  <c r="AT27" i="27" s="1"/>
  <c r="BN27" i="2"/>
  <c r="BO27" i="2" s="1"/>
  <c r="BP27" i="2" s="1"/>
  <c r="F5" i="3"/>
  <c r="AW17" i="24"/>
  <c r="AU62" i="3"/>
  <c r="AZ25" i="2"/>
  <c r="AV5" i="23"/>
  <c r="R29" i="3"/>
  <c r="S55" i="3"/>
  <c r="T52" i="3"/>
  <c r="S40" i="3"/>
  <c r="R42" i="3"/>
  <c r="O51" i="3"/>
  <c r="P51" i="3" s="1"/>
  <c r="P48" i="3"/>
  <c r="Q48" i="3"/>
  <c r="S31" i="3"/>
  <c r="W44" i="3"/>
  <c r="V47" i="3"/>
  <c r="S34" i="3"/>
  <c r="Q23" i="3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P23" i="3"/>
  <c r="Q20" i="3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P20" i="3"/>
  <c r="Q17" i="3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P17" i="3"/>
  <c r="I8" i="1"/>
  <c r="J8" i="1" s="1"/>
  <c r="K8" i="1" s="1"/>
  <c r="L8" i="1" s="1"/>
  <c r="M8" i="1" s="1"/>
  <c r="N8" i="1" s="1"/>
  <c r="O8" i="1" s="1"/>
  <c r="P8" i="1" s="1"/>
  <c r="Q8" i="1" s="1"/>
  <c r="R8" i="1" s="1"/>
  <c r="T8" i="1" s="1"/>
  <c r="V60" i="22"/>
  <c r="BA15" i="23" s="1"/>
  <c r="AP6" i="2"/>
  <c r="A62" i="22"/>
  <c r="G61" i="22"/>
  <c r="L61" i="22"/>
  <c r="G13" i="1"/>
  <c r="D22" i="3" s="1"/>
  <c r="D24" i="3" s="1"/>
  <c r="I6" i="1"/>
  <c r="J6" i="1" s="1"/>
  <c r="I9" i="1"/>
  <c r="J9" i="1" s="1"/>
  <c r="K9" i="1" s="1"/>
  <c r="L9" i="1" s="1"/>
  <c r="M9" i="1" s="1"/>
  <c r="N9" i="1" s="1"/>
  <c r="O9" i="1" s="1"/>
  <c r="P9" i="1" s="1"/>
  <c r="Q9" i="1" s="1"/>
  <c r="R9" i="1" s="1"/>
  <c r="T9" i="1" s="1"/>
  <c r="I7" i="1"/>
  <c r="N5" i="24"/>
  <c r="M25" i="24"/>
  <c r="N20" i="24"/>
  <c r="O20" i="24" s="1"/>
  <c r="N10" i="24"/>
  <c r="Z13" i="24"/>
  <c r="Y16" i="24"/>
  <c r="Q67" i="3"/>
  <c r="M37" i="22"/>
  <c r="N37" i="22" s="1"/>
  <c r="O37" i="22" s="1"/>
  <c r="Y15" i="22"/>
  <c r="E33" i="20" s="1"/>
  <c r="S29" i="22"/>
  <c r="T29" i="22" s="1"/>
  <c r="R30" i="22" s="1"/>
  <c r="D16" i="22"/>
  <c r="I8" i="2"/>
  <c r="AB5" i="1"/>
  <c r="X6" i="3"/>
  <c r="X9" i="27" s="1"/>
  <c r="X11" i="27" s="1"/>
  <c r="T7" i="1"/>
  <c r="I5" i="1"/>
  <c r="E6" i="3"/>
  <c r="E19" i="3"/>
  <c r="O5" i="1"/>
  <c r="K6" i="3"/>
  <c r="K9" i="27" s="1"/>
  <c r="D71" i="20"/>
  <c r="N43" i="20"/>
  <c r="D9" i="2"/>
  <c r="D64" i="3"/>
  <c r="W5" i="2"/>
  <c r="F21" i="3"/>
  <c r="E21" i="3"/>
  <c r="G18" i="3"/>
  <c r="F16" i="3"/>
  <c r="G16" i="3" s="1"/>
  <c r="H16" i="3" s="1"/>
  <c r="I16" i="3" s="1"/>
  <c r="J16" i="3" s="1"/>
  <c r="K16" i="3" s="1"/>
  <c r="L16" i="3" s="1"/>
  <c r="M16" i="3" s="1"/>
  <c r="N16" i="3" s="1"/>
  <c r="O16" i="3" s="1"/>
  <c r="F9" i="3"/>
  <c r="F69" i="3" s="1"/>
  <c r="G12" i="3"/>
  <c r="G5" i="3"/>
  <c r="K6" i="1"/>
  <c r="L6" i="1" s="1"/>
  <c r="H10" i="1"/>
  <c r="H13" i="1" s="1"/>
  <c r="H16" i="1" s="1"/>
  <c r="K11" i="27" l="1"/>
  <c r="K26" i="27"/>
  <c r="E8" i="3"/>
  <c r="E9" i="27"/>
  <c r="S9" i="1"/>
  <c r="X22" i="27"/>
  <c r="X12" i="27"/>
  <c r="X17" i="27"/>
  <c r="X18" i="27"/>
  <c r="X21" i="27"/>
  <c r="X23" i="27"/>
  <c r="X20" i="27"/>
  <c r="X24" i="27" s="1"/>
  <c r="X13" i="27"/>
  <c r="X16" i="27"/>
  <c r="X14" i="27"/>
  <c r="AU27" i="27"/>
  <c r="AV27" i="27" s="1"/>
  <c r="AW27" i="27" s="1"/>
  <c r="W26" i="27"/>
  <c r="X25" i="27"/>
  <c r="AD17" i="3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C17" i="3"/>
  <c r="AD23" i="3"/>
  <c r="AE23" i="3" s="1"/>
  <c r="AF23" i="3" s="1"/>
  <c r="AG23" i="3" s="1"/>
  <c r="AH23" i="3" s="1"/>
  <c r="AI23" i="3" s="1"/>
  <c r="AJ23" i="3" s="1"/>
  <c r="AK23" i="3" s="1"/>
  <c r="AL23" i="3" s="1"/>
  <c r="AM23" i="3" s="1"/>
  <c r="AN23" i="3" s="1"/>
  <c r="AO23" i="3" s="1"/>
  <c r="AC23" i="3"/>
  <c r="AV62" i="3"/>
  <c r="AD20" i="3"/>
  <c r="AE20" i="3" s="1"/>
  <c r="AF20" i="3" s="1"/>
  <c r="AG20" i="3" s="1"/>
  <c r="AH20" i="3" s="1"/>
  <c r="AI20" i="3" s="1"/>
  <c r="AJ20" i="3" s="1"/>
  <c r="AK20" i="3" s="1"/>
  <c r="AL20" i="3" s="1"/>
  <c r="AM20" i="3" s="1"/>
  <c r="AN20" i="3" s="1"/>
  <c r="AO20" i="3" s="1"/>
  <c r="AC20" i="3"/>
  <c r="BA25" i="2"/>
  <c r="AX17" i="24"/>
  <c r="AW5" i="23"/>
  <c r="G16" i="1"/>
  <c r="G18" i="1" s="1"/>
  <c r="J7" i="1"/>
  <c r="K7" i="1" s="1"/>
  <c r="N9" i="24"/>
  <c r="O9" i="24" s="1"/>
  <c r="O5" i="24"/>
  <c r="N12" i="24"/>
  <c r="O12" i="24" s="1"/>
  <c r="O10" i="24"/>
  <c r="D45" i="3"/>
  <c r="D37" i="3"/>
  <c r="D38" i="3" s="1"/>
  <c r="D49" i="3"/>
  <c r="D53" i="3"/>
  <c r="T34" i="3"/>
  <c r="T31" i="3"/>
  <c r="S29" i="3"/>
  <c r="K33" i="3"/>
  <c r="K30" i="3"/>
  <c r="Q51" i="3"/>
  <c r="R48" i="3"/>
  <c r="T40" i="3"/>
  <c r="S42" i="3"/>
  <c r="X44" i="3"/>
  <c r="W47" i="3"/>
  <c r="U52" i="3"/>
  <c r="T55" i="3"/>
  <c r="E30" i="3"/>
  <c r="E33" i="3"/>
  <c r="Q16" i="3"/>
  <c r="R16" i="3" s="1"/>
  <c r="S16" i="3" s="1"/>
  <c r="T16" i="3" s="1"/>
  <c r="U16" i="3" s="1"/>
  <c r="P16" i="3"/>
  <c r="V61" i="22"/>
  <c r="BB15" i="23" s="1"/>
  <c r="BC15" i="23" s="1"/>
  <c r="A63" i="22"/>
  <c r="G62" i="22"/>
  <c r="L62" i="22"/>
  <c r="S8" i="1"/>
  <c r="U9" i="1"/>
  <c r="V9" i="1" s="1"/>
  <c r="W9" i="1" s="1"/>
  <c r="X9" i="1" s="1"/>
  <c r="Y9" i="1" s="1"/>
  <c r="AA9" i="1" s="1"/>
  <c r="AB9" i="1" s="1"/>
  <c r="AC9" i="1" s="1"/>
  <c r="AD9" i="1" s="1"/>
  <c r="AE9" i="1" s="1"/>
  <c r="AG9" i="1" s="1"/>
  <c r="U7" i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G7" i="1" s="1"/>
  <c r="I10" i="1"/>
  <c r="J18" i="24"/>
  <c r="J19" i="24" s="1"/>
  <c r="J32" i="24" s="1"/>
  <c r="W18" i="24"/>
  <c r="W19" i="24" s="1"/>
  <c r="D18" i="24"/>
  <c r="D19" i="24" s="1"/>
  <c r="D32" i="24" s="1"/>
  <c r="E16" i="20"/>
  <c r="P5" i="24"/>
  <c r="P9" i="24" s="1"/>
  <c r="P26" i="24"/>
  <c r="P31" i="24" s="1"/>
  <c r="O31" i="24"/>
  <c r="P20" i="24"/>
  <c r="N25" i="24"/>
  <c r="P10" i="24"/>
  <c r="P12" i="24" s="1"/>
  <c r="AA13" i="24"/>
  <c r="AB13" i="24" s="1"/>
  <c r="Z16" i="24"/>
  <c r="O16" i="24"/>
  <c r="R67" i="3"/>
  <c r="M38" i="22"/>
  <c r="N38" i="22" s="1"/>
  <c r="O38" i="22" s="1"/>
  <c r="E16" i="22"/>
  <c r="X16" i="22"/>
  <c r="S30" i="22"/>
  <c r="T30" i="22" s="1"/>
  <c r="R31" i="22" s="1"/>
  <c r="D26" i="2"/>
  <c r="D28" i="2"/>
  <c r="E14" i="3"/>
  <c r="E11" i="3"/>
  <c r="D11" i="2"/>
  <c r="J8" i="2"/>
  <c r="P5" i="1"/>
  <c r="L6" i="3"/>
  <c r="L9" i="27" s="1"/>
  <c r="D15" i="3"/>
  <c r="J5" i="1"/>
  <c r="F6" i="3"/>
  <c r="AC5" i="1"/>
  <c r="Y6" i="3"/>
  <c r="Y9" i="27" s="1"/>
  <c r="Y11" i="27" s="1"/>
  <c r="D25" i="3"/>
  <c r="D26" i="3" s="1"/>
  <c r="H18" i="1"/>
  <c r="F8" i="23"/>
  <c r="F10" i="23" s="1"/>
  <c r="E7" i="20"/>
  <c r="E8" i="23"/>
  <c r="D17" i="20"/>
  <c r="O43" i="20"/>
  <c r="P43" i="20" s="1"/>
  <c r="E64" i="3"/>
  <c r="E22" i="3"/>
  <c r="E24" i="3" s="1"/>
  <c r="E25" i="3" s="1"/>
  <c r="E26" i="3" s="1"/>
  <c r="E9" i="2"/>
  <c r="E26" i="2" s="1"/>
  <c r="X5" i="2"/>
  <c r="G19" i="3"/>
  <c r="F19" i="3"/>
  <c r="H18" i="3"/>
  <c r="H19" i="3" s="1"/>
  <c r="G21" i="3"/>
  <c r="G9" i="3"/>
  <c r="G69" i="3" s="1"/>
  <c r="H12" i="3"/>
  <c r="H5" i="3"/>
  <c r="U8" i="1"/>
  <c r="K10" i="1"/>
  <c r="C32" i="1"/>
  <c r="E26" i="27" l="1"/>
  <c r="E11" i="27"/>
  <c r="Y21" i="27"/>
  <c r="Y17" i="27"/>
  <c r="Y13" i="27"/>
  <c r="Y20" i="27"/>
  <c r="Y14" i="27"/>
  <c r="Y18" i="27"/>
  <c r="Y22" i="27"/>
  <c r="Y23" i="27"/>
  <c r="Y12" i="27"/>
  <c r="Y15" i="27" s="1"/>
  <c r="Y16" i="27"/>
  <c r="X15" i="27"/>
  <c r="X19" i="27"/>
  <c r="L11" i="27"/>
  <c r="L26" i="27"/>
  <c r="F8" i="3"/>
  <c r="F9" i="27"/>
  <c r="K22" i="27"/>
  <c r="K18" i="27"/>
  <c r="K12" i="27"/>
  <c r="K17" i="27"/>
  <c r="K20" i="27"/>
  <c r="K24" i="27" s="1"/>
  <c r="K13" i="27"/>
  <c r="K14" i="27"/>
  <c r="K23" i="27"/>
  <c r="K21" i="27"/>
  <c r="K16" i="27"/>
  <c r="AX27" i="27"/>
  <c r="X26" i="27"/>
  <c r="X29" i="27" s="1"/>
  <c r="Y25" i="27"/>
  <c r="W29" i="27"/>
  <c r="D7" i="20"/>
  <c r="D59" i="20"/>
  <c r="E59" i="20" s="1"/>
  <c r="E63" i="20" s="1"/>
  <c r="BB25" i="2"/>
  <c r="BC25" i="2"/>
  <c r="AW62" i="3"/>
  <c r="AF7" i="1"/>
  <c r="AQ17" i="3"/>
  <c r="AR17" i="3" s="1"/>
  <c r="AS17" i="3" s="1"/>
  <c r="AT17" i="3" s="1"/>
  <c r="AU17" i="3" s="1"/>
  <c r="AV17" i="3" s="1"/>
  <c r="AW17" i="3" s="1"/>
  <c r="AX17" i="3" s="1"/>
  <c r="AY17" i="3" s="1"/>
  <c r="AZ17" i="3" s="1"/>
  <c r="BA17" i="3" s="1"/>
  <c r="BB17" i="3" s="1"/>
  <c r="AP17" i="3"/>
  <c r="AY17" i="24"/>
  <c r="AQ20" i="3"/>
  <c r="AR20" i="3" s="1"/>
  <c r="AS20" i="3" s="1"/>
  <c r="AT20" i="3" s="1"/>
  <c r="AU20" i="3" s="1"/>
  <c r="AV20" i="3" s="1"/>
  <c r="AW20" i="3" s="1"/>
  <c r="AX20" i="3" s="1"/>
  <c r="AY20" i="3" s="1"/>
  <c r="AZ20" i="3" s="1"/>
  <c r="BA20" i="3" s="1"/>
  <c r="BB20" i="3" s="1"/>
  <c r="AP20" i="3"/>
  <c r="AQ23" i="3"/>
  <c r="AR23" i="3" s="1"/>
  <c r="AS23" i="3" s="1"/>
  <c r="AT23" i="3" s="1"/>
  <c r="AU23" i="3" s="1"/>
  <c r="AV23" i="3" s="1"/>
  <c r="AW23" i="3" s="1"/>
  <c r="AX23" i="3" s="1"/>
  <c r="AY23" i="3" s="1"/>
  <c r="AZ23" i="3" s="1"/>
  <c r="BA23" i="3" s="1"/>
  <c r="BB23" i="3" s="1"/>
  <c r="AP23" i="3"/>
  <c r="AX5" i="23"/>
  <c r="J10" i="1"/>
  <c r="J13" i="1" s="1"/>
  <c r="J16" i="1" s="1"/>
  <c r="S7" i="1"/>
  <c r="E45" i="3"/>
  <c r="E46" i="3" s="1"/>
  <c r="E47" i="3" s="1"/>
  <c r="E53" i="3"/>
  <c r="S48" i="3"/>
  <c r="R51" i="3"/>
  <c r="E37" i="3"/>
  <c r="E38" i="3" s="1"/>
  <c r="D43" i="3"/>
  <c r="D39" i="3"/>
  <c r="F33" i="3"/>
  <c r="F30" i="3"/>
  <c r="U55" i="3"/>
  <c r="V52" i="3"/>
  <c r="T42" i="3"/>
  <c r="U40" i="3"/>
  <c r="U31" i="3"/>
  <c r="E49" i="3"/>
  <c r="L33" i="3"/>
  <c r="L30" i="3"/>
  <c r="Y44" i="3"/>
  <c r="X47" i="3"/>
  <c r="T29" i="3"/>
  <c r="U34" i="3"/>
  <c r="V62" i="22"/>
  <c r="BD15" i="23" s="1"/>
  <c r="I13" i="1"/>
  <c r="AF9" i="1"/>
  <c r="AH9" i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T9" i="1" s="1"/>
  <c r="AH7" i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T7" i="1" s="1"/>
  <c r="A64" i="22"/>
  <c r="L63" i="22"/>
  <c r="V63" i="22" s="1"/>
  <c r="BE15" i="23" s="1"/>
  <c r="E10" i="23"/>
  <c r="D17" i="2"/>
  <c r="D14" i="23"/>
  <c r="E18" i="24"/>
  <c r="E19" i="24" s="1"/>
  <c r="E32" i="24" s="1"/>
  <c r="F16" i="20"/>
  <c r="K18" i="24"/>
  <c r="K19" i="24" s="1"/>
  <c r="K32" i="24" s="1"/>
  <c r="X18" i="24"/>
  <c r="X19" i="24" s="1"/>
  <c r="E71" i="20"/>
  <c r="E17" i="20" s="1"/>
  <c r="Q5" i="24"/>
  <c r="Q9" i="24" s="1"/>
  <c r="D23" i="2"/>
  <c r="F9" i="2"/>
  <c r="F26" i="2" s="1"/>
  <c r="D18" i="2"/>
  <c r="D12" i="2"/>
  <c r="O25" i="24"/>
  <c r="Q26" i="24"/>
  <c r="Q31" i="24" s="1"/>
  <c r="P25" i="24"/>
  <c r="Q20" i="24"/>
  <c r="Q10" i="24"/>
  <c r="Q12" i="24" s="1"/>
  <c r="AA16" i="24"/>
  <c r="AC13" i="24"/>
  <c r="M39" i="22"/>
  <c r="N39" i="22" s="1"/>
  <c r="O39" i="22" s="1"/>
  <c r="C17" i="22"/>
  <c r="Y16" i="22"/>
  <c r="F33" i="20" s="1"/>
  <c r="S31" i="22"/>
  <c r="T31" i="22" s="1"/>
  <c r="R32" i="22" s="1"/>
  <c r="F14" i="3"/>
  <c r="F11" i="3"/>
  <c r="D21" i="2"/>
  <c r="D13" i="2"/>
  <c r="D20" i="2"/>
  <c r="E11" i="2"/>
  <c r="D14" i="2"/>
  <c r="D22" i="2"/>
  <c r="D16" i="2"/>
  <c r="K8" i="2"/>
  <c r="L8" i="2" s="1"/>
  <c r="M8" i="2" s="1"/>
  <c r="N8" i="2" s="1"/>
  <c r="O8" i="2" s="1"/>
  <c r="P8" i="2" s="1"/>
  <c r="E15" i="3"/>
  <c r="F64" i="3"/>
  <c r="K5" i="1"/>
  <c r="G6" i="3"/>
  <c r="AD5" i="1"/>
  <c r="Z6" i="3"/>
  <c r="Z9" i="27" s="1"/>
  <c r="Q5" i="1"/>
  <c r="M6" i="3"/>
  <c r="M9" i="27" s="1"/>
  <c r="G19" i="1"/>
  <c r="H19" i="1"/>
  <c r="H20" i="1" s="1"/>
  <c r="Q43" i="20"/>
  <c r="R43" i="20" s="1"/>
  <c r="D63" i="20"/>
  <c r="I21" i="22"/>
  <c r="J21" i="22" s="1"/>
  <c r="Y5" i="2"/>
  <c r="V16" i="3"/>
  <c r="I18" i="3"/>
  <c r="I19" i="3" s="1"/>
  <c r="H21" i="3"/>
  <c r="H9" i="3"/>
  <c r="H69" i="3" s="1"/>
  <c r="I12" i="3"/>
  <c r="I5" i="3"/>
  <c r="K13" i="1"/>
  <c r="K16" i="1" s="1"/>
  <c r="K18" i="1" s="1"/>
  <c r="L10" i="1"/>
  <c r="V8" i="1"/>
  <c r="L21" i="27" l="1"/>
  <c r="L14" i="27"/>
  <c r="L22" i="27"/>
  <c r="L12" i="27"/>
  <c r="L20" i="27"/>
  <c r="L18" i="27"/>
  <c r="L23" i="27"/>
  <c r="L17" i="27"/>
  <c r="L16" i="27"/>
  <c r="L19" i="27" s="1"/>
  <c r="L13" i="27"/>
  <c r="Y19" i="27"/>
  <c r="Z11" i="27"/>
  <c r="Z28" i="27"/>
  <c r="K15" i="27"/>
  <c r="K29" i="27" s="1"/>
  <c r="F11" i="27"/>
  <c r="F26" i="27"/>
  <c r="Y24" i="27"/>
  <c r="E17" i="27"/>
  <c r="E12" i="27"/>
  <c r="E20" i="27"/>
  <c r="E18" i="27"/>
  <c r="E22" i="27"/>
  <c r="E23" i="27"/>
  <c r="E21" i="27"/>
  <c r="E16" i="27"/>
  <c r="E13" i="27"/>
  <c r="E14" i="27"/>
  <c r="M28" i="27"/>
  <c r="M11" i="27"/>
  <c r="M26" i="27"/>
  <c r="G8" i="3"/>
  <c r="G9" i="27"/>
  <c r="K19" i="27"/>
  <c r="Z25" i="27"/>
  <c r="Y26" i="27"/>
  <c r="Y29" i="27" s="1"/>
  <c r="AY27" i="27"/>
  <c r="AZ27" i="27" s="1"/>
  <c r="AU7" i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G7" i="1" s="1"/>
  <c r="BC20" i="3"/>
  <c r="BD20" i="3"/>
  <c r="BE20" i="3" s="1"/>
  <c r="BF20" i="3" s="1"/>
  <c r="BG20" i="3" s="1"/>
  <c r="BH20" i="3" s="1"/>
  <c r="BI20" i="3" s="1"/>
  <c r="BJ20" i="3" s="1"/>
  <c r="BK20" i="3" s="1"/>
  <c r="BL20" i="3" s="1"/>
  <c r="BM20" i="3" s="1"/>
  <c r="BN20" i="3" s="1"/>
  <c r="BO20" i="3" s="1"/>
  <c r="BP20" i="3" s="1"/>
  <c r="BC17" i="3"/>
  <c r="BD17" i="3"/>
  <c r="BE17" i="3" s="1"/>
  <c r="BF17" i="3" s="1"/>
  <c r="BG17" i="3" s="1"/>
  <c r="BH17" i="3" s="1"/>
  <c r="BI17" i="3" s="1"/>
  <c r="BJ17" i="3" s="1"/>
  <c r="BK17" i="3" s="1"/>
  <c r="BL17" i="3" s="1"/>
  <c r="BM17" i="3" s="1"/>
  <c r="BN17" i="3" s="1"/>
  <c r="BO17" i="3" s="1"/>
  <c r="BP17" i="3" s="1"/>
  <c r="AZ17" i="24"/>
  <c r="BC23" i="3"/>
  <c r="BD23" i="3"/>
  <c r="BE23" i="3" s="1"/>
  <c r="BF23" i="3" s="1"/>
  <c r="BG23" i="3" s="1"/>
  <c r="BH23" i="3" s="1"/>
  <c r="BI23" i="3" s="1"/>
  <c r="BJ23" i="3" s="1"/>
  <c r="BK23" i="3" s="1"/>
  <c r="BL23" i="3" s="1"/>
  <c r="BM23" i="3" s="1"/>
  <c r="BN23" i="3" s="1"/>
  <c r="BO23" i="3" s="1"/>
  <c r="BP23" i="3" s="1"/>
  <c r="BD25" i="2"/>
  <c r="AU9" i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G9" i="1" s="1"/>
  <c r="BF9" i="1"/>
  <c r="AX62" i="3"/>
  <c r="AY5" i="23"/>
  <c r="AS9" i="1"/>
  <c r="G33" i="3"/>
  <c r="G30" i="3"/>
  <c r="W52" i="3"/>
  <c r="V55" i="3"/>
  <c r="D60" i="3"/>
  <c r="D66" i="3" s="1"/>
  <c r="T48" i="3"/>
  <c r="S51" i="3"/>
  <c r="V40" i="3"/>
  <c r="U42" i="3"/>
  <c r="E39" i="3"/>
  <c r="E43" i="3"/>
  <c r="U29" i="3"/>
  <c r="M33" i="3"/>
  <c r="M30" i="3"/>
  <c r="V34" i="3"/>
  <c r="Y47" i="3"/>
  <c r="Z44" i="3"/>
  <c r="V31" i="3"/>
  <c r="G20" i="1"/>
  <c r="D73" i="20" s="1"/>
  <c r="I16" i="1"/>
  <c r="F59" i="20" s="1"/>
  <c r="G59" i="20" s="1"/>
  <c r="H59" i="20" s="1"/>
  <c r="F22" i="3"/>
  <c r="F24" i="3" s="1"/>
  <c r="A65" i="22"/>
  <c r="L64" i="22"/>
  <c r="V64" i="22" s="1"/>
  <c r="BF15" i="23" s="1"/>
  <c r="AS7" i="1"/>
  <c r="J18" i="1"/>
  <c r="J19" i="1" s="1"/>
  <c r="J20" i="1" s="1"/>
  <c r="F71" i="20"/>
  <c r="F17" i="20" s="1"/>
  <c r="D19" i="2"/>
  <c r="L18" i="24"/>
  <c r="L19" i="24" s="1"/>
  <c r="L32" i="24" s="1"/>
  <c r="F18" i="24"/>
  <c r="F19" i="24" s="1"/>
  <c r="F32" i="24" s="1"/>
  <c r="G16" i="20"/>
  <c r="E14" i="2"/>
  <c r="Y18" i="24"/>
  <c r="Y19" i="24" s="1"/>
  <c r="R5" i="24"/>
  <c r="R9" i="24" s="1"/>
  <c r="E16" i="2"/>
  <c r="F11" i="2"/>
  <c r="F16" i="2" s="1"/>
  <c r="E20" i="2"/>
  <c r="F15" i="3"/>
  <c r="E21" i="2"/>
  <c r="D15" i="2"/>
  <c r="R26" i="24"/>
  <c r="R31" i="24" s="1"/>
  <c r="R10" i="24"/>
  <c r="R12" i="24" s="1"/>
  <c r="Q25" i="24"/>
  <c r="R20" i="24"/>
  <c r="AD13" i="24"/>
  <c r="AC16" i="24"/>
  <c r="M40" i="22"/>
  <c r="N40" i="22" s="1"/>
  <c r="O40" i="22" s="1"/>
  <c r="M41" i="22" s="1"/>
  <c r="N41" i="22" s="1"/>
  <c r="O41" i="22" s="1"/>
  <c r="M42" i="22" s="1"/>
  <c r="N42" i="22" s="1"/>
  <c r="O42" i="22" s="1"/>
  <c r="M43" i="22" s="1"/>
  <c r="N43" i="22" s="1"/>
  <c r="O43" i="22" s="1"/>
  <c r="M44" i="22" s="1"/>
  <c r="N44" i="22" s="1"/>
  <c r="O44" i="22" s="1"/>
  <c r="M45" i="22" s="1"/>
  <c r="N45" i="22" s="1"/>
  <c r="O45" i="22" s="1"/>
  <c r="M46" i="22" s="1"/>
  <c r="N46" i="22" s="1"/>
  <c r="O46" i="22" s="1"/>
  <c r="M47" i="22" s="1"/>
  <c r="H22" i="22"/>
  <c r="I22" i="22" s="1"/>
  <c r="J22" i="22" s="1"/>
  <c r="H23" i="22" s="1"/>
  <c r="D17" i="22"/>
  <c r="W17" i="22"/>
  <c r="G81" i="20" s="1"/>
  <c r="G83" i="20" s="1"/>
  <c r="S32" i="22"/>
  <c r="T32" i="22" s="1"/>
  <c r="R33" i="22" s="1"/>
  <c r="G14" i="3"/>
  <c r="G11" i="3"/>
  <c r="D24" i="2"/>
  <c r="E23" i="2"/>
  <c r="E12" i="2"/>
  <c r="E17" i="2"/>
  <c r="E22" i="2"/>
  <c r="E13" i="2"/>
  <c r="E18" i="2"/>
  <c r="G64" i="3"/>
  <c r="G9" i="2"/>
  <c r="R5" i="1"/>
  <c r="N6" i="3"/>
  <c r="N9" i="27" s="1"/>
  <c r="AE5" i="1"/>
  <c r="AA6" i="3"/>
  <c r="AA9" i="27" s="1"/>
  <c r="AA11" i="27" s="1"/>
  <c r="L5" i="1"/>
  <c r="I6" i="3" s="1"/>
  <c r="H6" i="3"/>
  <c r="K19" i="1"/>
  <c r="K20" i="1" s="1"/>
  <c r="J64" i="3"/>
  <c r="H8" i="23"/>
  <c r="G7" i="20"/>
  <c r="F16" i="23"/>
  <c r="I8" i="23"/>
  <c r="I10" i="23" s="1"/>
  <c r="H7" i="20"/>
  <c r="D21" i="20"/>
  <c r="S43" i="20"/>
  <c r="J9" i="2"/>
  <c r="H22" i="3"/>
  <c r="H24" i="3" s="1"/>
  <c r="G22" i="3"/>
  <c r="G24" i="3" s="1"/>
  <c r="Z5" i="2"/>
  <c r="W16" i="3"/>
  <c r="J18" i="3"/>
  <c r="J19" i="3" s="1"/>
  <c r="I21" i="3"/>
  <c r="I9" i="3"/>
  <c r="I69" i="3" s="1"/>
  <c r="J12" i="3"/>
  <c r="J14" i="3" s="1"/>
  <c r="J5" i="3"/>
  <c r="J8" i="3" s="1"/>
  <c r="L13" i="1"/>
  <c r="L16" i="1" s="1"/>
  <c r="L18" i="1" s="1"/>
  <c r="N6" i="1"/>
  <c r="M10" i="1"/>
  <c r="W8" i="1"/>
  <c r="AA22" i="27" l="1"/>
  <c r="AA18" i="27"/>
  <c r="AA12" i="27"/>
  <c r="AA15" i="27" s="1"/>
  <c r="AA17" i="27"/>
  <c r="AA16" i="27"/>
  <c r="AA19" i="27" s="1"/>
  <c r="AA13" i="27"/>
  <c r="AA14" i="27"/>
  <c r="AA23" i="27"/>
  <c r="AA21" i="27"/>
  <c r="AA20" i="27"/>
  <c r="E19" i="27"/>
  <c r="G28" i="27"/>
  <c r="G11" i="27"/>
  <c r="G26" i="27"/>
  <c r="Z23" i="27"/>
  <c r="Z16" i="27"/>
  <c r="Z17" i="27"/>
  <c r="Z18" i="27"/>
  <c r="Z13" i="27"/>
  <c r="Z14" i="27"/>
  <c r="Z12" i="27"/>
  <c r="Z20" i="27"/>
  <c r="Z24" i="27" s="1"/>
  <c r="Z22" i="27"/>
  <c r="Z21" i="27"/>
  <c r="L24" i="27"/>
  <c r="I8" i="3"/>
  <c r="I9" i="27"/>
  <c r="H8" i="3"/>
  <c r="H9" i="27"/>
  <c r="N11" i="27"/>
  <c r="N26" i="27"/>
  <c r="M21" i="27"/>
  <c r="M23" i="27"/>
  <c r="M18" i="27"/>
  <c r="M20" i="27"/>
  <c r="M17" i="27"/>
  <c r="M16" i="27"/>
  <c r="M22" i="27"/>
  <c r="M14" i="27"/>
  <c r="M13" i="27"/>
  <c r="M12" i="27"/>
  <c r="E24" i="27"/>
  <c r="E15" i="27"/>
  <c r="F14" i="27"/>
  <c r="F18" i="27"/>
  <c r="F21" i="27"/>
  <c r="F17" i="27"/>
  <c r="F23" i="27"/>
  <c r="F20" i="27"/>
  <c r="F24" i="27" s="1"/>
  <c r="F13" i="27"/>
  <c r="F16" i="27"/>
  <c r="F22" i="27"/>
  <c r="F12" i="27"/>
  <c r="F15" i="27" s="1"/>
  <c r="L15" i="27"/>
  <c r="L29" i="27" s="1"/>
  <c r="Z26" i="27"/>
  <c r="AA25" i="27"/>
  <c r="BA27" i="27"/>
  <c r="BE25" i="2"/>
  <c r="BA17" i="24"/>
  <c r="BF7" i="1"/>
  <c r="AY62" i="3"/>
  <c r="BH9" i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H7" i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AZ5" i="23"/>
  <c r="H33" i="3"/>
  <c r="H30" i="3"/>
  <c r="F25" i="3"/>
  <c r="F26" i="3" s="1"/>
  <c r="F45" i="3"/>
  <c r="F46" i="3" s="1"/>
  <c r="F53" i="3"/>
  <c r="G53" i="3" s="1"/>
  <c r="G54" i="3" s="1"/>
  <c r="AA44" i="3"/>
  <c r="Z47" i="3"/>
  <c r="V29" i="3"/>
  <c r="T51" i="3"/>
  <c r="U48" i="3"/>
  <c r="W55" i="3"/>
  <c r="X52" i="3"/>
  <c r="F49" i="3"/>
  <c r="G49" i="3" s="1"/>
  <c r="H25" i="3"/>
  <c r="H26" i="3" s="1"/>
  <c r="H49" i="3"/>
  <c r="N33" i="3"/>
  <c r="N30" i="3"/>
  <c r="W31" i="3"/>
  <c r="E60" i="3"/>
  <c r="W40" i="3"/>
  <c r="V42" i="3"/>
  <c r="I33" i="3"/>
  <c r="I30" i="3"/>
  <c r="W34" i="3"/>
  <c r="F37" i="3"/>
  <c r="F38" i="3" s="1"/>
  <c r="J16" i="20"/>
  <c r="O6" i="1"/>
  <c r="A66" i="22"/>
  <c r="L65" i="22"/>
  <c r="V65" i="22" s="1"/>
  <c r="BG15" i="23" s="1"/>
  <c r="I18" i="1"/>
  <c r="F7" i="20"/>
  <c r="G8" i="23"/>
  <c r="G10" i="23" s="1"/>
  <c r="F14" i="2"/>
  <c r="H10" i="23"/>
  <c r="G71" i="20"/>
  <c r="G17" i="20" s="1"/>
  <c r="E24" i="2"/>
  <c r="G18" i="24"/>
  <c r="G19" i="24" s="1"/>
  <c r="G32" i="24" s="1"/>
  <c r="H16" i="20"/>
  <c r="F17" i="2"/>
  <c r="H18" i="24"/>
  <c r="H19" i="24" s="1"/>
  <c r="H32" i="24" s="1"/>
  <c r="I16" i="20"/>
  <c r="Z18" i="24"/>
  <c r="Z19" i="24" s="1"/>
  <c r="F18" i="2"/>
  <c r="M18" i="24"/>
  <c r="M19" i="24" s="1"/>
  <c r="M32" i="24" s="1"/>
  <c r="S5" i="24"/>
  <c r="S9" i="24" s="1"/>
  <c r="G15" i="3"/>
  <c r="F23" i="2"/>
  <c r="F20" i="2"/>
  <c r="F22" i="2"/>
  <c r="F12" i="2"/>
  <c r="F13" i="2"/>
  <c r="F21" i="2"/>
  <c r="D29" i="2"/>
  <c r="S26" i="24"/>
  <c r="S31" i="24" s="1"/>
  <c r="D13" i="23"/>
  <c r="S10" i="24"/>
  <c r="S12" i="24" s="1"/>
  <c r="S20" i="24"/>
  <c r="R25" i="24"/>
  <c r="AE13" i="24"/>
  <c r="AD16" i="24"/>
  <c r="I23" i="22"/>
  <c r="J23" i="22" s="1"/>
  <c r="H24" i="22" s="1"/>
  <c r="X17" i="22"/>
  <c r="E17" i="22"/>
  <c r="S33" i="22"/>
  <c r="T33" i="22" s="1"/>
  <c r="R34" i="22" s="1"/>
  <c r="N47" i="22"/>
  <c r="O47" i="22" s="1"/>
  <c r="M48" i="22" s="1"/>
  <c r="H14" i="3"/>
  <c r="H11" i="3"/>
  <c r="J26" i="2"/>
  <c r="J28" i="2"/>
  <c r="I14" i="3"/>
  <c r="I11" i="3"/>
  <c r="G26" i="2"/>
  <c r="G28" i="2"/>
  <c r="G25" i="3"/>
  <c r="G26" i="3" s="1"/>
  <c r="D68" i="20"/>
  <c r="E19" i="2"/>
  <c r="E15" i="2"/>
  <c r="G11" i="2"/>
  <c r="J11" i="2"/>
  <c r="F63" i="20"/>
  <c r="I9" i="2"/>
  <c r="I26" i="2" s="1"/>
  <c r="I64" i="3"/>
  <c r="T5" i="1"/>
  <c r="O6" i="3"/>
  <c r="O9" i="27" s="1"/>
  <c r="H64" i="3"/>
  <c r="H9" i="2"/>
  <c r="H26" i="2" s="1"/>
  <c r="AG5" i="1"/>
  <c r="AB6" i="3"/>
  <c r="AB9" i="27" s="1"/>
  <c r="L19" i="1"/>
  <c r="L20" i="1" s="1"/>
  <c r="J16" i="23" s="1"/>
  <c r="K64" i="3"/>
  <c r="E73" i="20"/>
  <c r="I7" i="20"/>
  <c r="J8" i="23"/>
  <c r="J10" i="23" s="1"/>
  <c r="I59" i="20"/>
  <c r="T43" i="20"/>
  <c r="E21" i="20"/>
  <c r="H63" i="20"/>
  <c r="K9" i="2"/>
  <c r="K26" i="2" s="1"/>
  <c r="AA5" i="2"/>
  <c r="I22" i="3"/>
  <c r="I24" i="3" s="1"/>
  <c r="X16" i="3"/>
  <c r="K18" i="3"/>
  <c r="K19" i="3" s="1"/>
  <c r="J21" i="3"/>
  <c r="J9" i="3"/>
  <c r="K12" i="3"/>
  <c r="K14" i="3" s="1"/>
  <c r="K5" i="3"/>
  <c r="K8" i="3" s="1"/>
  <c r="M13" i="1"/>
  <c r="M16" i="1" s="1"/>
  <c r="M18" i="1" s="1"/>
  <c r="N10" i="1"/>
  <c r="X8" i="1"/>
  <c r="AC9" i="27" l="1"/>
  <c r="AB11" i="27"/>
  <c r="M15" i="27"/>
  <c r="M19" i="27"/>
  <c r="H11" i="27"/>
  <c r="H26" i="27"/>
  <c r="Z15" i="27"/>
  <c r="G13" i="27"/>
  <c r="G12" i="27"/>
  <c r="G17" i="27"/>
  <c r="G16" i="27"/>
  <c r="G23" i="27"/>
  <c r="G14" i="27"/>
  <c r="G22" i="27"/>
  <c r="G21" i="27"/>
  <c r="G18" i="27"/>
  <c r="G20" i="27"/>
  <c r="AA24" i="27"/>
  <c r="N21" i="27"/>
  <c r="N13" i="27"/>
  <c r="N20" i="27"/>
  <c r="N17" i="27"/>
  <c r="N18" i="27"/>
  <c r="N14" i="27"/>
  <c r="N12" i="27"/>
  <c r="N15" i="27" s="1"/>
  <c r="N16" i="27"/>
  <c r="N23" i="27"/>
  <c r="N22" i="27"/>
  <c r="F19" i="27"/>
  <c r="F29" i="27" s="1"/>
  <c r="E29" i="27"/>
  <c r="Z19" i="27"/>
  <c r="Z29" i="27" s="1"/>
  <c r="P9" i="27"/>
  <c r="O11" i="27"/>
  <c r="O26" i="27"/>
  <c r="M24" i="27"/>
  <c r="I11" i="27"/>
  <c r="I26" i="27"/>
  <c r="BB27" i="27"/>
  <c r="BD27" i="27" s="1"/>
  <c r="AA26" i="27"/>
  <c r="AA29" i="27" s="1"/>
  <c r="AB25" i="27"/>
  <c r="BC17" i="24"/>
  <c r="BB17" i="24"/>
  <c r="BS7" i="1"/>
  <c r="AZ62" i="3"/>
  <c r="BS9" i="1"/>
  <c r="BF25" i="2"/>
  <c r="BA5" i="23"/>
  <c r="I49" i="3"/>
  <c r="O33" i="3"/>
  <c r="P33" i="3" s="1"/>
  <c r="O30" i="3"/>
  <c r="X31" i="3"/>
  <c r="W33" i="3"/>
  <c r="Y52" i="3"/>
  <c r="X55" i="3"/>
  <c r="W29" i="3"/>
  <c r="AB44" i="3"/>
  <c r="AC44" i="3" s="1"/>
  <c r="AA47" i="3"/>
  <c r="H53" i="3"/>
  <c r="I53" i="3" s="1"/>
  <c r="G55" i="3"/>
  <c r="P55" i="3" s="1"/>
  <c r="X34" i="3"/>
  <c r="G37" i="3"/>
  <c r="G38" i="3" s="1"/>
  <c r="F43" i="3"/>
  <c r="F39" i="3"/>
  <c r="X40" i="3"/>
  <c r="W42" i="3"/>
  <c r="U51" i="3"/>
  <c r="V48" i="3"/>
  <c r="G45" i="3"/>
  <c r="H45" i="3" s="1"/>
  <c r="I45" i="3" s="1"/>
  <c r="F47" i="3"/>
  <c r="H71" i="20"/>
  <c r="I71" i="20" s="1"/>
  <c r="J71" i="20" s="1"/>
  <c r="K16" i="20"/>
  <c r="A67" i="22"/>
  <c r="L66" i="22"/>
  <c r="V66" i="22" s="1"/>
  <c r="BH15" i="23" s="1"/>
  <c r="I19" i="1"/>
  <c r="H15" i="3"/>
  <c r="F15" i="2"/>
  <c r="D17" i="23"/>
  <c r="D19" i="23" s="1"/>
  <c r="C30" i="23" s="1"/>
  <c r="F19" i="2"/>
  <c r="J20" i="2"/>
  <c r="G17" i="2"/>
  <c r="D28" i="20"/>
  <c r="D30" i="20" s="1"/>
  <c r="D66" i="20"/>
  <c r="D75" i="20" s="1"/>
  <c r="D77" i="20" s="1"/>
  <c r="D85" i="20" s="1"/>
  <c r="D87" i="20" s="1"/>
  <c r="D35" i="20" s="1"/>
  <c r="E14" i="23"/>
  <c r="AA18" i="24"/>
  <c r="N18" i="24"/>
  <c r="F24" i="2"/>
  <c r="T5" i="24"/>
  <c r="T9" i="24" s="1"/>
  <c r="I15" i="3"/>
  <c r="J11" i="3"/>
  <c r="J15" i="3" s="1"/>
  <c r="J69" i="3"/>
  <c r="G13" i="2"/>
  <c r="T26" i="24"/>
  <c r="T31" i="24" s="1"/>
  <c r="T10" i="24"/>
  <c r="T12" i="24" s="1"/>
  <c r="T20" i="24"/>
  <c r="S25" i="24"/>
  <c r="AF13" i="24"/>
  <c r="AE16" i="24"/>
  <c r="I24" i="22"/>
  <c r="J24" i="22" s="1"/>
  <c r="Y17" i="22"/>
  <c r="G33" i="20" s="1"/>
  <c r="C18" i="22"/>
  <c r="S34" i="22"/>
  <c r="T34" i="22" s="1"/>
  <c r="R35" i="22" s="1"/>
  <c r="N48" i="22"/>
  <c r="O48" i="22" s="1"/>
  <c r="M49" i="22" s="1"/>
  <c r="E29" i="2"/>
  <c r="G20" i="2"/>
  <c r="J23" i="2"/>
  <c r="G23" i="2"/>
  <c r="J16" i="2"/>
  <c r="G21" i="2"/>
  <c r="I11" i="2"/>
  <c r="J12" i="2"/>
  <c r="J21" i="2"/>
  <c r="K11" i="2"/>
  <c r="K16" i="2" s="1"/>
  <c r="J14" i="2"/>
  <c r="J22" i="2"/>
  <c r="H11" i="2"/>
  <c r="J17" i="2"/>
  <c r="G22" i="2"/>
  <c r="G16" i="2"/>
  <c r="G14" i="2"/>
  <c r="J13" i="2"/>
  <c r="J18" i="2"/>
  <c r="G18" i="2"/>
  <c r="G12" i="2"/>
  <c r="AH5" i="1"/>
  <c r="AD6" i="3"/>
  <c r="AD9" i="27" s="1"/>
  <c r="U5" i="1"/>
  <c r="Q6" i="3"/>
  <c r="Q9" i="27" s="1"/>
  <c r="M19" i="1"/>
  <c r="M20" i="1" s="1"/>
  <c r="L64" i="3"/>
  <c r="J7" i="20"/>
  <c r="K8" i="23"/>
  <c r="J59" i="20"/>
  <c r="F21" i="20"/>
  <c r="U43" i="20"/>
  <c r="G63" i="20"/>
  <c r="I63" i="20"/>
  <c r="L9" i="2"/>
  <c r="L26" i="2" s="1"/>
  <c r="AB5" i="2"/>
  <c r="AC5" i="2" s="1"/>
  <c r="I25" i="3"/>
  <c r="I26" i="3" s="1"/>
  <c r="J22" i="3"/>
  <c r="J24" i="3" s="1"/>
  <c r="Y16" i="3"/>
  <c r="L18" i="3"/>
  <c r="L19" i="3" s="1"/>
  <c r="K21" i="3"/>
  <c r="K9" i="3"/>
  <c r="L12" i="3"/>
  <c r="L14" i="3" s="1"/>
  <c r="L5" i="3"/>
  <c r="N13" i="1"/>
  <c r="N16" i="1" s="1"/>
  <c r="N18" i="1" s="1"/>
  <c r="O10" i="1"/>
  <c r="P6" i="1"/>
  <c r="Y8" i="1"/>
  <c r="AD11" i="27" l="1"/>
  <c r="AD28" i="27"/>
  <c r="O18" i="27"/>
  <c r="P18" i="27" s="1"/>
  <c r="O16" i="27"/>
  <c r="O12" i="27"/>
  <c r="O17" i="27"/>
  <c r="P17" i="27" s="1"/>
  <c r="O21" i="27"/>
  <c r="O13" i="27"/>
  <c r="P13" i="27" s="1"/>
  <c r="O20" i="27"/>
  <c r="O23" i="27"/>
  <c r="P23" i="27" s="1"/>
  <c r="O22" i="27"/>
  <c r="P22" i="27" s="1"/>
  <c r="O14" i="27"/>
  <c r="P14" i="27" s="1"/>
  <c r="I21" i="27"/>
  <c r="I17" i="27"/>
  <c r="I13" i="27"/>
  <c r="I16" i="27"/>
  <c r="I18" i="27"/>
  <c r="I23" i="27"/>
  <c r="I12" i="27"/>
  <c r="I15" i="27" s="1"/>
  <c r="I14" i="27"/>
  <c r="I22" i="27"/>
  <c r="I20" i="27"/>
  <c r="I24" i="27" s="1"/>
  <c r="N19" i="27"/>
  <c r="G19" i="27"/>
  <c r="M29" i="27"/>
  <c r="N24" i="27"/>
  <c r="N29" i="27" s="1"/>
  <c r="P11" i="27"/>
  <c r="AB22" i="27"/>
  <c r="AB12" i="27"/>
  <c r="AB23" i="27"/>
  <c r="AB18" i="27"/>
  <c r="AB14" i="27"/>
  <c r="AB13" i="27"/>
  <c r="AB21" i="27"/>
  <c r="AB20" i="27"/>
  <c r="AB17" i="27"/>
  <c r="AB16" i="27"/>
  <c r="AB19" i="27" s="1"/>
  <c r="Q11" i="27"/>
  <c r="Q28" i="27"/>
  <c r="Q26" i="27"/>
  <c r="P26" i="27"/>
  <c r="G24" i="27"/>
  <c r="G29" i="27" s="1"/>
  <c r="G15" i="27"/>
  <c r="H18" i="27"/>
  <c r="H23" i="27"/>
  <c r="H21" i="27"/>
  <c r="H20" i="27"/>
  <c r="H13" i="27"/>
  <c r="H16" i="27"/>
  <c r="H17" i="27"/>
  <c r="H22" i="27"/>
  <c r="H12" i="27"/>
  <c r="H14" i="27"/>
  <c r="BE27" i="27"/>
  <c r="BF27" i="27" s="1"/>
  <c r="BG27" i="27" s="1"/>
  <c r="AD25" i="27"/>
  <c r="AB26" i="27"/>
  <c r="AC25" i="27"/>
  <c r="BC27" i="27"/>
  <c r="AA19" i="24"/>
  <c r="AB18" i="24"/>
  <c r="BG25" i="2"/>
  <c r="L16" i="20"/>
  <c r="L8" i="3"/>
  <c r="BA62" i="3"/>
  <c r="BD17" i="24"/>
  <c r="BB5" i="23"/>
  <c r="D5" i="20"/>
  <c r="D10" i="20" s="1"/>
  <c r="D23" i="20" s="1"/>
  <c r="D23" i="23"/>
  <c r="J49" i="3"/>
  <c r="N19" i="24"/>
  <c r="N32" i="24" s="1"/>
  <c r="O32" i="24" s="1"/>
  <c r="O18" i="24"/>
  <c r="W48" i="3"/>
  <c r="V51" i="3"/>
  <c r="X42" i="3"/>
  <c r="Y40" i="3"/>
  <c r="Y34" i="3"/>
  <c r="P30" i="3"/>
  <c r="J25" i="3"/>
  <c r="J26" i="3" s="1"/>
  <c r="J53" i="3"/>
  <c r="J45" i="3"/>
  <c r="H37" i="3"/>
  <c r="H38" i="3" s="1"/>
  <c r="G43" i="3"/>
  <c r="G39" i="3"/>
  <c r="W30" i="3"/>
  <c r="X29" i="3"/>
  <c r="Y31" i="3"/>
  <c r="X33" i="3"/>
  <c r="F60" i="3"/>
  <c r="AD44" i="3"/>
  <c r="AB47" i="3"/>
  <c r="AC47" i="3" s="1"/>
  <c r="Y55" i="3"/>
  <c r="Z52" i="3"/>
  <c r="Q33" i="3"/>
  <c r="Q30" i="3"/>
  <c r="K71" i="20"/>
  <c r="H17" i="20"/>
  <c r="I20" i="1"/>
  <c r="A68" i="22"/>
  <c r="L68" i="22" s="1"/>
  <c r="V68" i="22" s="1"/>
  <c r="BJ15" i="23" s="1"/>
  <c r="L67" i="22"/>
  <c r="V67" i="22" s="1"/>
  <c r="BI15" i="23" s="1"/>
  <c r="F29" i="2"/>
  <c r="G14" i="23" s="1"/>
  <c r="K10" i="23"/>
  <c r="AC18" i="24"/>
  <c r="AC19" i="24" s="1"/>
  <c r="I22" i="2"/>
  <c r="E28" i="20"/>
  <c r="E30" i="20" s="1"/>
  <c r="E66" i="20"/>
  <c r="F14" i="23"/>
  <c r="P18" i="24"/>
  <c r="P19" i="24" s="1"/>
  <c r="P32" i="24" s="1"/>
  <c r="K23" i="2"/>
  <c r="H23" i="2"/>
  <c r="H22" i="2"/>
  <c r="U5" i="24"/>
  <c r="U9" i="24" s="1"/>
  <c r="H20" i="2"/>
  <c r="K20" i="2"/>
  <c r="G24" i="2"/>
  <c r="K69" i="3"/>
  <c r="K11" i="3"/>
  <c r="K15" i="3" s="1"/>
  <c r="I13" i="2"/>
  <c r="K13" i="2"/>
  <c r="K21" i="2"/>
  <c r="G15" i="2"/>
  <c r="J24" i="2"/>
  <c r="K14" i="2"/>
  <c r="E66" i="3"/>
  <c r="U26" i="24"/>
  <c r="U31" i="24" s="1"/>
  <c r="U10" i="24"/>
  <c r="U12" i="24" s="1"/>
  <c r="T25" i="24"/>
  <c r="U20" i="24"/>
  <c r="AG13" i="24"/>
  <c r="AF16" i="24"/>
  <c r="H25" i="22"/>
  <c r="I25" i="22" s="1"/>
  <c r="J25" i="22" s="1"/>
  <c r="D18" i="22"/>
  <c r="W18" i="22"/>
  <c r="H81" i="20" s="1"/>
  <c r="H83" i="20" s="1"/>
  <c r="S35" i="22"/>
  <c r="T35" i="22" s="1"/>
  <c r="R36" i="22" s="1"/>
  <c r="N49" i="22"/>
  <c r="O49" i="22" s="1"/>
  <c r="M50" i="22" s="1"/>
  <c r="H16" i="2"/>
  <c r="H13" i="2"/>
  <c r="I14" i="2"/>
  <c r="J15" i="2"/>
  <c r="H12" i="2"/>
  <c r="H18" i="2"/>
  <c r="J19" i="2"/>
  <c r="H17" i="2"/>
  <c r="I20" i="2"/>
  <c r="I16" i="2"/>
  <c r="I23" i="2"/>
  <c r="K22" i="2"/>
  <c r="K18" i="2"/>
  <c r="I12" i="2"/>
  <c r="I17" i="2"/>
  <c r="H14" i="2"/>
  <c r="L11" i="2"/>
  <c r="K12" i="2"/>
  <c r="K17" i="2"/>
  <c r="H21" i="2"/>
  <c r="I21" i="2"/>
  <c r="I18" i="2"/>
  <c r="G19" i="2"/>
  <c r="V5" i="1"/>
  <c r="R6" i="3"/>
  <c r="R9" i="27" s="1"/>
  <c r="AI5" i="1"/>
  <c r="AE6" i="3"/>
  <c r="AE9" i="27" s="1"/>
  <c r="AE11" i="27" s="1"/>
  <c r="N19" i="1"/>
  <c r="N20" i="1" s="1"/>
  <c r="M64" i="3"/>
  <c r="K59" i="20"/>
  <c r="I17" i="20"/>
  <c r="K7" i="20"/>
  <c r="L8" i="23"/>
  <c r="L10" i="23" s="1"/>
  <c r="V43" i="20"/>
  <c r="G21" i="20"/>
  <c r="M9" i="2"/>
  <c r="K22" i="3"/>
  <c r="K24" i="3" s="1"/>
  <c r="K25" i="3" s="1"/>
  <c r="K26" i="3" s="1"/>
  <c r="Z16" i="3"/>
  <c r="M18" i="3"/>
  <c r="M19" i="3" s="1"/>
  <c r="L21" i="3"/>
  <c r="L9" i="3"/>
  <c r="M12" i="3"/>
  <c r="M14" i="3" s="1"/>
  <c r="M5" i="3"/>
  <c r="M8" i="3" s="1"/>
  <c r="O13" i="1"/>
  <c r="O16" i="1" s="1"/>
  <c r="O18" i="1" s="1"/>
  <c r="P10" i="1"/>
  <c r="Q6" i="1"/>
  <c r="AA8" i="1"/>
  <c r="I29" i="27" l="1"/>
  <c r="H19" i="27"/>
  <c r="AB15" i="27"/>
  <c r="AB29" i="27" s="1"/>
  <c r="P21" i="27"/>
  <c r="R11" i="27"/>
  <c r="R26" i="27"/>
  <c r="H15" i="27"/>
  <c r="H29" i="27" s="1"/>
  <c r="Q20" i="27"/>
  <c r="Q16" i="27"/>
  <c r="Q19" i="27" s="1"/>
  <c r="Q17" i="27"/>
  <c r="Q18" i="27"/>
  <c r="Q12" i="27"/>
  <c r="Q23" i="27"/>
  <c r="Q13" i="27"/>
  <c r="Q22" i="27"/>
  <c r="Q14" i="27"/>
  <c r="Q21" i="27"/>
  <c r="P16" i="27"/>
  <c r="O19" i="27"/>
  <c r="P19" i="27" s="1"/>
  <c r="AE12" i="27"/>
  <c r="AE14" i="27"/>
  <c r="AE23" i="27"/>
  <c r="AE22" i="27"/>
  <c r="AE13" i="27"/>
  <c r="AE18" i="27"/>
  <c r="AE21" i="27"/>
  <c r="AE16" i="27"/>
  <c r="AE19" i="27" s="1"/>
  <c r="AE17" i="27"/>
  <c r="AE20" i="27"/>
  <c r="H24" i="27"/>
  <c r="P15" i="27"/>
  <c r="AB24" i="27"/>
  <c r="I19" i="27"/>
  <c r="P20" i="27"/>
  <c r="O24" i="27"/>
  <c r="P12" i="27"/>
  <c r="O15" i="27"/>
  <c r="AD14" i="27"/>
  <c r="AD12" i="27"/>
  <c r="AD13" i="27"/>
  <c r="AD17" i="27"/>
  <c r="AD23" i="27"/>
  <c r="AD16" i="27"/>
  <c r="AD22" i="27"/>
  <c r="AD21" i="27"/>
  <c r="AD20" i="27"/>
  <c r="AD24" i="27" s="1"/>
  <c r="AD18" i="27"/>
  <c r="BH27" i="27"/>
  <c r="BI27" i="27" s="1"/>
  <c r="BJ27" i="27" s="1"/>
  <c r="AD26" i="27"/>
  <c r="AE25" i="27"/>
  <c r="BE17" i="24"/>
  <c r="BH25" i="2"/>
  <c r="BB62" i="3"/>
  <c r="BP15" i="23"/>
  <c r="BD5" i="23"/>
  <c r="L71" i="20"/>
  <c r="O19" i="24"/>
  <c r="G60" i="3"/>
  <c r="G66" i="3" s="1"/>
  <c r="R33" i="3"/>
  <c r="R30" i="3"/>
  <c r="Y29" i="3"/>
  <c r="X30" i="3"/>
  <c r="AE44" i="3"/>
  <c r="AD47" i="3"/>
  <c r="K53" i="3"/>
  <c r="H43" i="3"/>
  <c r="I37" i="3"/>
  <c r="I38" i="3" s="1"/>
  <c r="H39" i="3"/>
  <c r="Y42" i="3"/>
  <c r="Z40" i="3"/>
  <c r="K49" i="3"/>
  <c r="K45" i="3"/>
  <c r="K46" i="3" s="1"/>
  <c r="AA52" i="3"/>
  <c r="Z55" i="3"/>
  <c r="Z31" i="3"/>
  <c r="Y33" i="3"/>
  <c r="Z34" i="3"/>
  <c r="W51" i="3"/>
  <c r="X48" i="3"/>
  <c r="F28" i="20"/>
  <c r="F30" i="20" s="1"/>
  <c r="M16" i="20"/>
  <c r="F66" i="20"/>
  <c r="H16" i="23"/>
  <c r="F73" i="20"/>
  <c r="G73" i="20" s="1"/>
  <c r="H73" i="20" s="1"/>
  <c r="I73" i="20" s="1"/>
  <c r="J73" i="20" s="1"/>
  <c r="J29" i="2"/>
  <c r="K14" i="23" s="1"/>
  <c r="Q18" i="24"/>
  <c r="Q19" i="24" s="1"/>
  <c r="Q32" i="24" s="1"/>
  <c r="L23" i="2"/>
  <c r="AD18" i="24"/>
  <c r="AD19" i="24" s="1"/>
  <c r="H24" i="2"/>
  <c r="K24" i="2"/>
  <c r="V5" i="24"/>
  <c r="V9" i="24" s="1"/>
  <c r="I15" i="2"/>
  <c r="K15" i="2"/>
  <c r="F66" i="3"/>
  <c r="H15" i="2"/>
  <c r="L69" i="3"/>
  <c r="L11" i="3"/>
  <c r="L15" i="3" s="1"/>
  <c r="G29" i="2"/>
  <c r="H19" i="2"/>
  <c r="E13" i="23"/>
  <c r="E68" i="20"/>
  <c r="E75" i="20" s="1"/>
  <c r="E77" i="20" s="1"/>
  <c r="E85" i="20" s="1"/>
  <c r="E87" i="20" s="1"/>
  <c r="E89" i="20" s="1"/>
  <c r="E45" i="20" s="1"/>
  <c r="E50" i="20" s="1"/>
  <c r="V26" i="24"/>
  <c r="V31" i="24" s="1"/>
  <c r="V10" i="24"/>
  <c r="V12" i="24" s="1"/>
  <c r="U25" i="24"/>
  <c r="V20" i="24"/>
  <c r="AH13" i="24"/>
  <c r="AG16" i="24"/>
  <c r="L18" i="2"/>
  <c r="L14" i="2"/>
  <c r="H26" i="22"/>
  <c r="I26" i="22" s="1"/>
  <c r="J26" i="22" s="1"/>
  <c r="X18" i="22"/>
  <c r="E18" i="22"/>
  <c r="S36" i="22"/>
  <c r="T36" i="22" s="1"/>
  <c r="R37" i="22" s="1"/>
  <c r="N50" i="22"/>
  <c r="O50" i="22" s="1"/>
  <c r="M51" i="22" s="1"/>
  <c r="M26" i="2"/>
  <c r="M28" i="2"/>
  <c r="P28" i="2" s="1"/>
  <c r="L20" i="2"/>
  <c r="L13" i="2"/>
  <c r="I19" i="2"/>
  <c r="I24" i="2"/>
  <c r="L16" i="2"/>
  <c r="L21" i="2"/>
  <c r="L12" i="2"/>
  <c r="L17" i="2"/>
  <c r="L22" i="2"/>
  <c r="K19" i="2"/>
  <c r="M11" i="2"/>
  <c r="W5" i="1"/>
  <c r="S6" i="3"/>
  <c r="S9" i="27" s="1"/>
  <c r="AJ5" i="1"/>
  <c r="AF6" i="3"/>
  <c r="AF9" i="27" s="1"/>
  <c r="AF11" i="27" s="1"/>
  <c r="K73" i="20"/>
  <c r="L16" i="23"/>
  <c r="O19" i="1"/>
  <c r="N64" i="3"/>
  <c r="J17" i="20"/>
  <c r="L7" i="20"/>
  <c r="M8" i="23"/>
  <c r="L59" i="20"/>
  <c r="W43" i="20"/>
  <c r="H21" i="20"/>
  <c r="J63" i="20"/>
  <c r="K63" i="20"/>
  <c r="N9" i="2"/>
  <c r="N26" i="2" s="1"/>
  <c r="AE5" i="2"/>
  <c r="L22" i="3"/>
  <c r="L24" i="3" s="1"/>
  <c r="AA16" i="3"/>
  <c r="N18" i="3"/>
  <c r="N19" i="3" s="1"/>
  <c r="M21" i="3"/>
  <c r="M9" i="3"/>
  <c r="N12" i="3"/>
  <c r="N14" i="3" s="1"/>
  <c r="N5" i="3"/>
  <c r="P13" i="1"/>
  <c r="P16" i="1" s="1"/>
  <c r="P18" i="1" s="1"/>
  <c r="Q10" i="1"/>
  <c r="R6" i="1"/>
  <c r="S6" i="1" s="1"/>
  <c r="AB8" i="1"/>
  <c r="S11" i="27" l="1"/>
  <c r="S26" i="27"/>
  <c r="O29" i="27"/>
  <c r="P29" i="27" s="1"/>
  <c r="Q15" i="27"/>
  <c r="Q24" i="27"/>
  <c r="AE24" i="27"/>
  <c r="R22" i="27"/>
  <c r="R12" i="27"/>
  <c r="R21" i="27"/>
  <c r="R13" i="27"/>
  <c r="R14" i="27"/>
  <c r="R20" i="27"/>
  <c r="R23" i="27"/>
  <c r="R16" i="27"/>
  <c r="R19" i="27" s="1"/>
  <c r="R18" i="27"/>
  <c r="R17" i="27"/>
  <c r="AF23" i="27"/>
  <c r="AF20" i="27"/>
  <c r="AF21" i="27"/>
  <c r="AF16" i="27"/>
  <c r="AF14" i="27"/>
  <c r="AF18" i="27"/>
  <c r="AF17" i="27"/>
  <c r="AF22" i="27"/>
  <c r="AF12" i="27"/>
  <c r="AF15" i="27" s="1"/>
  <c r="AF13" i="27"/>
  <c r="AD19" i="27"/>
  <c r="AD15" i="27"/>
  <c r="P24" i="27"/>
  <c r="AE15" i="27"/>
  <c r="AF25" i="27"/>
  <c r="AE26" i="27"/>
  <c r="AE29" i="27" s="1"/>
  <c r="BK27" i="27"/>
  <c r="AD29" i="27"/>
  <c r="N16" i="20"/>
  <c r="N8" i="3"/>
  <c r="BD62" i="3"/>
  <c r="BF17" i="24"/>
  <c r="BI25" i="2"/>
  <c r="BE5" i="23"/>
  <c r="M71" i="20"/>
  <c r="L49" i="3"/>
  <c r="S33" i="3"/>
  <c r="S30" i="3"/>
  <c r="Z33" i="3"/>
  <c r="AA31" i="3"/>
  <c r="L45" i="3"/>
  <c r="L46" i="3" s="1"/>
  <c r="K47" i="3"/>
  <c r="I43" i="3"/>
  <c r="J37" i="3"/>
  <c r="J38" i="3" s="1"/>
  <c r="I39" i="3"/>
  <c r="AE47" i="3"/>
  <c r="AF44" i="3"/>
  <c r="Z29" i="3"/>
  <c r="Y30" i="3"/>
  <c r="AA40" i="3"/>
  <c r="Z42" i="3"/>
  <c r="AA34" i="3"/>
  <c r="L25" i="3"/>
  <c r="L26" i="3" s="1"/>
  <c r="L53" i="3"/>
  <c r="Y48" i="3"/>
  <c r="X51" i="3"/>
  <c r="AB52" i="3"/>
  <c r="AC52" i="3" s="1"/>
  <c r="AA55" i="3"/>
  <c r="H60" i="3"/>
  <c r="G66" i="20"/>
  <c r="O20" i="1"/>
  <c r="L73" i="20" s="1"/>
  <c r="J28" i="20"/>
  <c r="J30" i="20" s="1"/>
  <c r="H29" i="2"/>
  <c r="I14" i="23" s="1"/>
  <c r="M10" i="23"/>
  <c r="E17" i="23"/>
  <c r="E19" i="23" s="1"/>
  <c r="C31" i="23" s="1"/>
  <c r="M12" i="2"/>
  <c r="K29" i="2"/>
  <c r="L14" i="23" s="1"/>
  <c r="G28" i="20"/>
  <c r="G30" i="20" s="1"/>
  <c r="H14" i="23"/>
  <c r="W5" i="24"/>
  <c r="W9" i="24" s="1"/>
  <c r="G13" i="23"/>
  <c r="G17" i="23" s="1"/>
  <c r="G19" i="23" s="1"/>
  <c r="I29" i="2"/>
  <c r="J14" i="23" s="1"/>
  <c r="AF69" i="3"/>
  <c r="AE18" i="24"/>
  <c r="AE19" i="24" s="1"/>
  <c r="M69" i="3"/>
  <c r="M11" i="3"/>
  <c r="M15" i="3" s="1"/>
  <c r="S69" i="3"/>
  <c r="R18" i="24"/>
  <c r="R19" i="24" s="1"/>
  <c r="W26" i="24"/>
  <c r="W31" i="24" s="1"/>
  <c r="F13" i="23"/>
  <c r="F17" i="23" s="1"/>
  <c r="F19" i="23" s="1"/>
  <c r="W10" i="24"/>
  <c r="W12" i="24" s="1"/>
  <c r="W20" i="24"/>
  <c r="V25" i="24"/>
  <c r="V32" i="24" s="1"/>
  <c r="AI13" i="24"/>
  <c r="AH16" i="24"/>
  <c r="L19" i="2"/>
  <c r="M20" i="2"/>
  <c r="L15" i="2"/>
  <c r="H27" i="22"/>
  <c r="I27" i="22" s="1"/>
  <c r="J27" i="22" s="1"/>
  <c r="Y18" i="22"/>
  <c r="H33" i="20" s="1"/>
  <c r="C19" i="22"/>
  <c r="S37" i="22"/>
  <c r="T37" i="22" s="1"/>
  <c r="R38" i="22" s="1"/>
  <c r="N51" i="22"/>
  <c r="O51" i="22" s="1"/>
  <c r="M52" i="22" s="1"/>
  <c r="L24" i="2"/>
  <c r="F68" i="20"/>
  <c r="F75" i="20" s="1"/>
  <c r="F77" i="20" s="1"/>
  <c r="F85" i="20" s="1"/>
  <c r="F87" i="20" s="1"/>
  <c r="M23" i="2"/>
  <c r="N11" i="2"/>
  <c r="M17" i="2"/>
  <c r="M14" i="2"/>
  <c r="M21" i="2"/>
  <c r="M16" i="2"/>
  <c r="M22" i="2"/>
  <c r="M13" i="2"/>
  <c r="M18" i="2"/>
  <c r="R8" i="2"/>
  <c r="AK5" i="1"/>
  <c r="AG6" i="3"/>
  <c r="AG9" i="27" s="1"/>
  <c r="X5" i="1"/>
  <c r="T6" i="3"/>
  <c r="T9" i="27" s="1"/>
  <c r="P19" i="1"/>
  <c r="P20" i="1" s="1"/>
  <c r="O64" i="3"/>
  <c r="P64" i="3" s="1"/>
  <c r="E35" i="20"/>
  <c r="K17" i="20"/>
  <c r="M7" i="20"/>
  <c r="N8" i="23"/>
  <c r="N10" i="23" s="1"/>
  <c r="M59" i="20"/>
  <c r="I21" i="20"/>
  <c r="X43" i="20"/>
  <c r="L63" i="20"/>
  <c r="O9" i="2"/>
  <c r="AF5" i="2"/>
  <c r="M22" i="3"/>
  <c r="M24" i="3" s="1"/>
  <c r="M25" i="3" s="1"/>
  <c r="M26" i="3" s="1"/>
  <c r="AB16" i="3"/>
  <c r="AC16" i="3" s="1"/>
  <c r="O18" i="3"/>
  <c r="N21" i="3"/>
  <c r="N9" i="3"/>
  <c r="O12" i="3"/>
  <c r="O5" i="3"/>
  <c r="Q13" i="1"/>
  <c r="Q16" i="1" s="1"/>
  <c r="Q18" i="1" s="1"/>
  <c r="R10" i="1"/>
  <c r="S10" i="1" s="1"/>
  <c r="B3" i="26" s="1"/>
  <c r="B6" i="26" s="1"/>
  <c r="B16" i="26" s="1"/>
  <c r="AC8" i="1"/>
  <c r="T11" i="27" l="1"/>
  <c r="T28" i="27"/>
  <c r="AC28" i="27" s="1"/>
  <c r="T26" i="27"/>
  <c r="AF19" i="27"/>
  <c r="R24" i="27"/>
  <c r="R15" i="27"/>
  <c r="Q29" i="27"/>
  <c r="S21" i="27"/>
  <c r="S23" i="27"/>
  <c r="S22" i="27"/>
  <c r="S16" i="27"/>
  <c r="S18" i="27"/>
  <c r="S20" i="27"/>
  <c r="S12" i="27"/>
  <c r="S13" i="27"/>
  <c r="S17" i="27"/>
  <c r="S14" i="27"/>
  <c r="AG11" i="27"/>
  <c r="AG28" i="27"/>
  <c r="AF24" i="27"/>
  <c r="AF26" i="27"/>
  <c r="AG25" i="27"/>
  <c r="BL27" i="27"/>
  <c r="BM27" i="27" s="1"/>
  <c r="P5" i="3"/>
  <c r="O8" i="3"/>
  <c r="BJ25" i="2"/>
  <c r="BE62" i="3"/>
  <c r="BG17" i="24"/>
  <c r="BF5" i="23"/>
  <c r="G23" i="23"/>
  <c r="C33" i="23"/>
  <c r="F23" i="23"/>
  <c r="C32" i="23"/>
  <c r="E5" i="20"/>
  <c r="E10" i="20" s="1"/>
  <c r="E23" i="20" s="1"/>
  <c r="E23" i="23"/>
  <c r="N71" i="20"/>
  <c r="AB34" i="3"/>
  <c r="AC34" i="3" s="1"/>
  <c r="AB40" i="3"/>
  <c r="AC40" i="3" s="1"/>
  <c r="AA42" i="3"/>
  <c r="M53" i="3"/>
  <c r="M45" i="3"/>
  <c r="M46" i="3" s="1"/>
  <c r="L47" i="3"/>
  <c r="T33" i="3"/>
  <c r="T30" i="3"/>
  <c r="AD52" i="3"/>
  <c r="AB55" i="3"/>
  <c r="AC55" i="3" s="1"/>
  <c r="AA29" i="3"/>
  <c r="Z30" i="3"/>
  <c r="K37" i="3"/>
  <c r="K38" i="3" s="1"/>
  <c r="J43" i="3"/>
  <c r="J39" i="3"/>
  <c r="AB31" i="3"/>
  <c r="AC31" i="3" s="1"/>
  <c r="AA33" i="3"/>
  <c r="M49" i="3"/>
  <c r="Y51" i="3"/>
  <c r="Z48" i="3"/>
  <c r="I60" i="3"/>
  <c r="AG44" i="3"/>
  <c r="AF47" i="3"/>
  <c r="O19" i="3"/>
  <c r="P19" i="3" s="1"/>
  <c r="P18" i="3"/>
  <c r="O14" i="3"/>
  <c r="P14" i="3" s="1"/>
  <c r="P12" i="3"/>
  <c r="O16" i="20"/>
  <c r="P16" i="20" s="1"/>
  <c r="H66" i="20"/>
  <c r="I66" i="20" s="1"/>
  <c r="J66" i="20" s="1"/>
  <c r="K66" i="20" s="1"/>
  <c r="H28" i="20"/>
  <c r="H30" i="20" s="1"/>
  <c r="O26" i="2"/>
  <c r="P26" i="2" s="1"/>
  <c r="P9" i="2"/>
  <c r="K28" i="20"/>
  <c r="K30" i="20" s="1"/>
  <c r="I28" i="20"/>
  <c r="I30" i="20" s="1"/>
  <c r="S18" i="24"/>
  <c r="S19" i="24" s="1"/>
  <c r="S32" i="24" s="1"/>
  <c r="N23" i="2"/>
  <c r="X5" i="24"/>
  <c r="X9" i="24" s="1"/>
  <c r="H66" i="3"/>
  <c r="N69" i="3"/>
  <c r="N11" i="3"/>
  <c r="N15" i="3" s="1"/>
  <c r="AF18" i="24"/>
  <c r="AF19" i="24" s="1"/>
  <c r="AG69" i="3"/>
  <c r="R32" i="24"/>
  <c r="X26" i="24"/>
  <c r="X31" i="24" s="1"/>
  <c r="X10" i="24"/>
  <c r="X12" i="24" s="1"/>
  <c r="X20" i="24"/>
  <c r="W25" i="24"/>
  <c r="AJ13" i="24"/>
  <c r="AI16" i="24"/>
  <c r="N22" i="2"/>
  <c r="M15" i="2"/>
  <c r="N14" i="2"/>
  <c r="N16" i="2"/>
  <c r="N21" i="2"/>
  <c r="N17" i="2"/>
  <c r="N12" i="2"/>
  <c r="N20" i="2"/>
  <c r="L29" i="2"/>
  <c r="M14" i="23" s="1"/>
  <c r="H28" i="22"/>
  <c r="I28" i="22" s="1"/>
  <c r="J28" i="22" s="1"/>
  <c r="D19" i="22"/>
  <c r="W19" i="22"/>
  <c r="I81" i="20" s="1"/>
  <c r="I83" i="20" s="1"/>
  <c r="S38" i="22"/>
  <c r="T38" i="22" s="1"/>
  <c r="R39" i="22" s="1"/>
  <c r="N52" i="22"/>
  <c r="O52" i="22" s="1"/>
  <c r="M53" i="22" s="1"/>
  <c r="M19" i="2"/>
  <c r="N13" i="2"/>
  <c r="N18" i="2"/>
  <c r="F35" i="20"/>
  <c r="F38" i="20" s="1"/>
  <c r="F40" i="20" s="1"/>
  <c r="F89" i="20"/>
  <c r="F45" i="20" s="1"/>
  <c r="F50" i="20" s="1"/>
  <c r="G68" i="20"/>
  <c r="G75" i="20" s="1"/>
  <c r="G77" i="20" s="1"/>
  <c r="G85" i="20" s="1"/>
  <c r="G87" i="20" s="1"/>
  <c r="G89" i="20" s="1"/>
  <c r="G45" i="20" s="1"/>
  <c r="O11" i="2"/>
  <c r="M24" i="2"/>
  <c r="S8" i="2"/>
  <c r="Q12" i="3"/>
  <c r="Q14" i="3" s="1"/>
  <c r="Y5" i="1"/>
  <c r="V6" i="3" s="1"/>
  <c r="V9" i="27" s="1"/>
  <c r="U6" i="3"/>
  <c r="U9" i="27" s="1"/>
  <c r="AL5" i="1"/>
  <c r="AH6" i="3"/>
  <c r="AH9" i="27" s="1"/>
  <c r="AH11" i="27" s="1"/>
  <c r="M73" i="20"/>
  <c r="N16" i="23"/>
  <c r="P16" i="23" s="1"/>
  <c r="E38" i="20"/>
  <c r="E40" i="20" s="1"/>
  <c r="E52" i="20" s="1"/>
  <c r="Q19" i="1"/>
  <c r="Q20" i="1" s="1"/>
  <c r="Q64" i="3"/>
  <c r="L17" i="20"/>
  <c r="O8" i="23"/>
  <c r="N7" i="20"/>
  <c r="N59" i="20"/>
  <c r="T14" i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C14" i="26" s="1"/>
  <c r="J21" i="20"/>
  <c r="Y43" i="20"/>
  <c r="M63" i="20"/>
  <c r="Q9" i="2"/>
  <c r="AG5" i="2"/>
  <c r="N22" i="3"/>
  <c r="N24" i="3" s="1"/>
  <c r="AD16" i="3"/>
  <c r="Q18" i="3"/>
  <c r="Q19" i="3" s="1"/>
  <c r="O21" i="3"/>
  <c r="P21" i="3" s="1"/>
  <c r="O9" i="3"/>
  <c r="P9" i="3" s="1"/>
  <c r="Q5" i="3"/>
  <c r="R13" i="1"/>
  <c r="U6" i="1"/>
  <c r="T10" i="1"/>
  <c r="AD8" i="1"/>
  <c r="U11" i="27" l="1"/>
  <c r="U26" i="27"/>
  <c r="AG18" i="27"/>
  <c r="AG17" i="27"/>
  <c r="AG13" i="27"/>
  <c r="AG21" i="27"/>
  <c r="AG14" i="27"/>
  <c r="AG16" i="27"/>
  <c r="AG19" i="27" s="1"/>
  <c r="AG22" i="27"/>
  <c r="AG20" i="27"/>
  <c r="AG12" i="27"/>
  <c r="AG15" i="27" s="1"/>
  <c r="AG23" i="27"/>
  <c r="T22" i="27"/>
  <c r="T23" i="27"/>
  <c r="T13" i="27"/>
  <c r="T12" i="27"/>
  <c r="T18" i="27"/>
  <c r="T21" i="27"/>
  <c r="T16" i="27"/>
  <c r="T17" i="27"/>
  <c r="T20" i="27"/>
  <c r="T14" i="27"/>
  <c r="V11" i="27"/>
  <c r="V26" i="27"/>
  <c r="AC26" i="27" s="1"/>
  <c r="AC11" i="27"/>
  <c r="S19" i="27"/>
  <c r="AF29" i="27"/>
  <c r="S15" i="27"/>
  <c r="AH20" i="27"/>
  <c r="AH13" i="27"/>
  <c r="AH12" i="27"/>
  <c r="AH21" i="27"/>
  <c r="AH23" i="27"/>
  <c r="AH18" i="27"/>
  <c r="AH14" i="27"/>
  <c r="AH17" i="27"/>
  <c r="AH22" i="27"/>
  <c r="AH16" i="27"/>
  <c r="AH19" i="27" s="1"/>
  <c r="S24" i="27"/>
  <c r="R29" i="27"/>
  <c r="BN27" i="27"/>
  <c r="AG26" i="27"/>
  <c r="AH25" i="27"/>
  <c r="C20" i="26"/>
  <c r="BH17" i="24"/>
  <c r="Q16" i="20"/>
  <c r="Q8" i="3"/>
  <c r="BK25" i="2"/>
  <c r="BF62" i="3"/>
  <c r="O71" i="20"/>
  <c r="BG5" i="23"/>
  <c r="E54" i="20"/>
  <c r="F5" i="20"/>
  <c r="G5" i="20" s="1"/>
  <c r="G10" i="20" s="1"/>
  <c r="G23" i="20" s="1"/>
  <c r="J60" i="3"/>
  <c r="U33" i="3"/>
  <c r="U30" i="3"/>
  <c r="AA48" i="3"/>
  <c r="Z51" i="3"/>
  <c r="AB33" i="3"/>
  <c r="AD31" i="3"/>
  <c r="AA30" i="3"/>
  <c r="AB29" i="3"/>
  <c r="AC29" i="3" s="1"/>
  <c r="N49" i="3"/>
  <c r="N53" i="3"/>
  <c r="AD34" i="3"/>
  <c r="AD40" i="3"/>
  <c r="AB42" i="3"/>
  <c r="AC42" i="3" s="1"/>
  <c r="V33" i="3"/>
  <c r="V30" i="3"/>
  <c r="AG47" i="3"/>
  <c r="AH44" i="3"/>
  <c r="L37" i="3"/>
  <c r="L38" i="3" s="1"/>
  <c r="K43" i="3"/>
  <c r="K39" i="3"/>
  <c r="AD55" i="3"/>
  <c r="AE52" i="3"/>
  <c r="M47" i="3"/>
  <c r="P47" i="3" s="1"/>
  <c r="N45" i="3"/>
  <c r="T13" i="1"/>
  <c r="R16" i="1"/>
  <c r="R18" i="1" s="1"/>
  <c r="S13" i="1"/>
  <c r="O10" i="23"/>
  <c r="P8" i="23"/>
  <c r="P10" i="23" s="1"/>
  <c r="U18" i="24"/>
  <c r="U19" i="24" s="1"/>
  <c r="U32" i="24" s="1"/>
  <c r="O22" i="2"/>
  <c r="P22" i="2" s="1"/>
  <c r="T18" i="24"/>
  <c r="T19" i="24" s="1"/>
  <c r="T32" i="24" s="1"/>
  <c r="L66" i="20"/>
  <c r="W32" i="24"/>
  <c r="Y5" i="24"/>
  <c r="Y9" i="24" s="1"/>
  <c r="O69" i="3"/>
  <c r="P69" i="3" s="1"/>
  <c r="O11" i="3"/>
  <c r="O15" i="3" s="1"/>
  <c r="AG18" i="24"/>
  <c r="AG19" i="24" s="1"/>
  <c r="AH69" i="3"/>
  <c r="Y26" i="24"/>
  <c r="Y31" i="24" s="1"/>
  <c r="Y10" i="24"/>
  <c r="Y12" i="24" s="1"/>
  <c r="X25" i="24"/>
  <c r="Y20" i="24"/>
  <c r="AK13" i="24"/>
  <c r="AJ16" i="24"/>
  <c r="N19" i="2"/>
  <c r="O13" i="2"/>
  <c r="P13" i="2" s="1"/>
  <c r="O18" i="2"/>
  <c r="P18" i="2" s="1"/>
  <c r="O23" i="2"/>
  <c r="P23" i="2" s="1"/>
  <c r="N24" i="2"/>
  <c r="L28" i="20"/>
  <c r="L30" i="20" s="1"/>
  <c r="N15" i="2"/>
  <c r="Q71" i="20"/>
  <c r="H29" i="22"/>
  <c r="I29" i="22" s="1"/>
  <c r="J29" i="22" s="1"/>
  <c r="X19" i="22"/>
  <c r="E19" i="22"/>
  <c r="S39" i="22"/>
  <c r="T39" i="22" s="1"/>
  <c r="R40" i="22" s="1"/>
  <c r="N53" i="22"/>
  <c r="O53" i="22" s="1"/>
  <c r="M54" i="22" s="1"/>
  <c r="Q26" i="2"/>
  <c r="Q28" i="2"/>
  <c r="O14" i="2"/>
  <c r="P14" i="2" s="1"/>
  <c r="O20" i="2"/>
  <c r="P20" i="2" s="1"/>
  <c r="N25" i="3"/>
  <c r="N26" i="3" s="1"/>
  <c r="O16" i="2"/>
  <c r="P16" i="2" s="1"/>
  <c r="O21" i="2"/>
  <c r="P21" i="2" s="1"/>
  <c r="M29" i="2"/>
  <c r="N14" i="23" s="1"/>
  <c r="P11" i="2"/>
  <c r="O12" i="2"/>
  <c r="O17" i="2"/>
  <c r="P17" i="2" s="1"/>
  <c r="F52" i="20"/>
  <c r="G35" i="20"/>
  <c r="G38" i="20" s="1"/>
  <c r="G40" i="20" s="1"/>
  <c r="H13" i="23"/>
  <c r="H68" i="20"/>
  <c r="Q11" i="2"/>
  <c r="T8" i="2"/>
  <c r="Q9" i="3"/>
  <c r="N73" i="20"/>
  <c r="AM5" i="1"/>
  <c r="AI6" i="3"/>
  <c r="AI9" i="27" s="1"/>
  <c r="AI11" i="27" s="1"/>
  <c r="R64" i="3"/>
  <c r="M17" i="20"/>
  <c r="G50" i="20"/>
  <c r="Z43" i="20"/>
  <c r="K21" i="20"/>
  <c r="N63" i="20"/>
  <c r="P8" i="3"/>
  <c r="R9" i="2"/>
  <c r="R26" i="2" s="1"/>
  <c r="AH5" i="2"/>
  <c r="O22" i="3"/>
  <c r="AE16" i="3"/>
  <c r="Q21" i="3"/>
  <c r="R18" i="3"/>
  <c r="R19" i="3" s="1"/>
  <c r="R12" i="3"/>
  <c r="R14" i="3" s="1"/>
  <c r="R5" i="3"/>
  <c r="V6" i="1"/>
  <c r="U10" i="1"/>
  <c r="U13" i="1" s="1"/>
  <c r="U16" i="1" s="1"/>
  <c r="AE8" i="1"/>
  <c r="AF8" i="1" s="1"/>
  <c r="V14" i="27" l="1"/>
  <c r="V18" i="27"/>
  <c r="AC18" i="27" s="1"/>
  <c r="V20" i="27"/>
  <c r="V12" i="27"/>
  <c r="V15" i="27" s="1"/>
  <c r="V22" i="27"/>
  <c r="V17" i="27"/>
  <c r="AC17" i="27" s="1"/>
  <c r="V16" i="27"/>
  <c r="V21" i="27"/>
  <c r="AC21" i="27" s="1"/>
  <c r="V13" i="27"/>
  <c r="V23" i="27"/>
  <c r="AC23" i="27" s="1"/>
  <c r="T19" i="27"/>
  <c r="U18" i="27"/>
  <c r="U20" i="27"/>
  <c r="U24" i="27" s="1"/>
  <c r="U22" i="27"/>
  <c r="U14" i="27"/>
  <c r="U21" i="27"/>
  <c r="U16" i="27"/>
  <c r="U19" i="27" s="1"/>
  <c r="U13" i="27"/>
  <c r="U23" i="27"/>
  <c r="U17" i="27"/>
  <c r="U12" i="27"/>
  <c r="AH15" i="27"/>
  <c r="S29" i="27"/>
  <c r="T24" i="27"/>
  <c r="AC20" i="27"/>
  <c r="S16" i="1"/>
  <c r="AI17" i="27"/>
  <c r="AI22" i="27"/>
  <c r="AI23" i="27"/>
  <c r="AI21" i="27"/>
  <c r="AI16" i="27"/>
  <c r="AI19" i="27" s="1"/>
  <c r="AI20" i="27"/>
  <c r="AI12" i="27"/>
  <c r="AI15" i="27" s="1"/>
  <c r="AI14" i="27"/>
  <c r="AI13" i="27"/>
  <c r="AI18" i="27"/>
  <c r="AH24" i="27"/>
  <c r="T15" i="27"/>
  <c r="AG24" i="27"/>
  <c r="AG29" i="27" s="1"/>
  <c r="AH26" i="27"/>
  <c r="AI25" i="27"/>
  <c r="BO27" i="27"/>
  <c r="BP27" i="27" s="1"/>
  <c r="BI17" i="24"/>
  <c r="R16" i="20"/>
  <c r="R8" i="3"/>
  <c r="R71" i="20" s="1"/>
  <c r="BL25" i="2"/>
  <c r="BG62" i="3"/>
  <c r="BH5" i="23"/>
  <c r="F10" i="20"/>
  <c r="F23" i="20" s="1"/>
  <c r="F54" i="20" s="1"/>
  <c r="O59" i="20"/>
  <c r="P59" i="20" s="1"/>
  <c r="Q8" i="23"/>
  <c r="Q10" i="23" s="1"/>
  <c r="O7" i="20"/>
  <c r="P7" i="20" s="1"/>
  <c r="AE31" i="3"/>
  <c r="AD33" i="3"/>
  <c r="AI44" i="3"/>
  <c r="AH47" i="3"/>
  <c r="AE34" i="3"/>
  <c r="AB48" i="3"/>
  <c r="AC48" i="3" s="1"/>
  <c r="AA51" i="3"/>
  <c r="AE55" i="3"/>
  <c r="AF52" i="3"/>
  <c r="M37" i="3"/>
  <c r="M38" i="3" s="1"/>
  <c r="L43" i="3"/>
  <c r="L39" i="3"/>
  <c r="AC33" i="3"/>
  <c r="K60" i="3"/>
  <c r="AD42" i="3"/>
  <c r="AE40" i="3"/>
  <c r="AD29" i="3"/>
  <c r="AB30" i="3"/>
  <c r="O24" i="3"/>
  <c r="O49" i="3" s="1"/>
  <c r="P22" i="3"/>
  <c r="S18" i="1"/>
  <c r="R19" i="1"/>
  <c r="Q22" i="3"/>
  <c r="Q24" i="3" s="1"/>
  <c r="Q53" i="3" s="1"/>
  <c r="T16" i="1"/>
  <c r="R8" i="23" s="1"/>
  <c r="O15" i="2"/>
  <c r="P15" i="2" s="1"/>
  <c r="P12" i="2"/>
  <c r="H17" i="23"/>
  <c r="H19" i="23" s="1"/>
  <c r="C34" i="23" s="1"/>
  <c r="T18" i="1"/>
  <c r="M66" i="20"/>
  <c r="AB19" i="24"/>
  <c r="Q16" i="2"/>
  <c r="Z5" i="24"/>
  <c r="Z9" i="24" s="1"/>
  <c r="M28" i="20"/>
  <c r="M30" i="20" s="1"/>
  <c r="AH18" i="24"/>
  <c r="AH19" i="24" s="1"/>
  <c r="AI69" i="3"/>
  <c r="Q69" i="3"/>
  <c r="Q11" i="3"/>
  <c r="Q15" i="3" s="1"/>
  <c r="I66" i="3"/>
  <c r="X32" i="24"/>
  <c r="Z26" i="24"/>
  <c r="Z31" i="24" s="1"/>
  <c r="Z10" i="24"/>
  <c r="Z12" i="24" s="1"/>
  <c r="Y25" i="24"/>
  <c r="Z20" i="24"/>
  <c r="AL13" i="24"/>
  <c r="AK16" i="24"/>
  <c r="N29" i="2"/>
  <c r="Q21" i="2"/>
  <c r="O19" i="2"/>
  <c r="O24" i="2"/>
  <c r="P24" i="2" s="1"/>
  <c r="H30" i="22"/>
  <c r="I30" i="22" s="1"/>
  <c r="J30" i="22" s="1"/>
  <c r="Y19" i="22"/>
  <c r="I33" i="20" s="1"/>
  <c r="C20" i="22"/>
  <c r="S40" i="22"/>
  <c r="T40" i="22" s="1"/>
  <c r="R41" i="22" s="1"/>
  <c r="N54" i="22"/>
  <c r="O54" i="22" s="1"/>
  <c r="M55" i="22" s="1"/>
  <c r="G52" i="20"/>
  <c r="G54" i="20" s="1"/>
  <c r="H75" i="20"/>
  <c r="H77" i="20" s="1"/>
  <c r="H85" i="20" s="1"/>
  <c r="H87" i="20" s="1"/>
  <c r="Q22" i="2"/>
  <c r="R11" i="2"/>
  <c r="Q13" i="2"/>
  <c r="Q18" i="2"/>
  <c r="Q23" i="2"/>
  <c r="Q14" i="2"/>
  <c r="Q20" i="2"/>
  <c r="Q12" i="2"/>
  <c r="Q17" i="2"/>
  <c r="U8" i="2"/>
  <c r="AN5" i="1"/>
  <c r="AJ6" i="3"/>
  <c r="AJ9" i="27" s="1"/>
  <c r="S64" i="3"/>
  <c r="N17" i="20"/>
  <c r="Q7" i="20"/>
  <c r="L21" i="20"/>
  <c r="AA43" i="20"/>
  <c r="P15" i="3"/>
  <c r="P11" i="3"/>
  <c r="S9" i="2"/>
  <c r="S26" i="2" s="1"/>
  <c r="AI5" i="2"/>
  <c r="Q25" i="3"/>
  <c r="Q26" i="3" s="1"/>
  <c r="R22" i="3"/>
  <c r="R24" i="3" s="1"/>
  <c r="AF16" i="3"/>
  <c r="S18" i="3"/>
  <c r="S19" i="3" s="1"/>
  <c r="R21" i="3"/>
  <c r="R9" i="3"/>
  <c r="S12" i="3"/>
  <c r="S14" i="3" s="1"/>
  <c r="S5" i="3"/>
  <c r="S8" i="3" s="1"/>
  <c r="W6" i="1"/>
  <c r="V10" i="1"/>
  <c r="V13" i="1" s="1"/>
  <c r="V16" i="1" s="1"/>
  <c r="AG8" i="1"/>
  <c r="U15" i="27" l="1"/>
  <c r="U29" i="27" s="1"/>
  <c r="AC12" i="27"/>
  <c r="AJ11" i="27"/>
  <c r="AJ28" i="27"/>
  <c r="AC15" i="27"/>
  <c r="T29" i="27"/>
  <c r="AI24" i="27"/>
  <c r="AC24" i="27"/>
  <c r="AC13" i="27"/>
  <c r="AC22" i="27"/>
  <c r="AC14" i="27"/>
  <c r="AC16" i="27"/>
  <c r="V19" i="27"/>
  <c r="V24" i="27"/>
  <c r="AI26" i="27"/>
  <c r="AI29" i="27" s="1"/>
  <c r="AJ25" i="27"/>
  <c r="AH29" i="27"/>
  <c r="Q59" i="20"/>
  <c r="BH62" i="3"/>
  <c r="BJ17" i="24"/>
  <c r="BM25" i="2"/>
  <c r="BI5" i="23"/>
  <c r="H5" i="20"/>
  <c r="H10" i="20" s="1"/>
  <c r="H23" i="20" s="1"/>
  <c r="H23" i="23"/>
  <c r="O45" i="3"/>
  <c r="Q45" i="3" s="1"/>
  <c r="R45" i="3" s="1"/>
  <c r="O53" i="3"/>
  <c r="P53" i="3" s="1"/>
  <c r="Q49" i="3"/>
  <c r="R49" i="3" s="1"/>
  <c r="P49" i="3"/>
  <c r="N37" i="3"/>
  <c r="N38" i="3" s="1"/>
  <c r="M43" i="3"/>
  <c r="M39" i="3"/>
  <c r="AB51" i="3"/>
  <c r="AC51" i="3" s="1"/>
  <c r="AD48" i="3"/>
  <c r="AE33" i="3"/>
  <c r="AF31" i="3"/>
  <c r="R53" i="3"/>
  <c r="AF34" i="3"/>
  <c r="AD30" i="3"/>
  <c r="AE29" i="3"/>
  <c r="AG52" i="3"/>
  <c r="AF55" i="3"/>
  <c r="AE42" i="3"/>
  <c r="AF40" i="3"/>
  <c r="L60" i="3"/>
  <c r="AJ44" i="3"/>
  <c r="AI47" i="3"/>
  <c r="AC30" i="3"/>
  <c r="O25" i="3"/>
  <c r="P24" i="3"/>
  <c r="R20" i="1"/>
  <c r="S19" i="1"/>
  <c r="S71" i="20"/>
  <c r="S16" i="20"/>
  <c r="T19" i="1"/>
  <c r="R16" i="2"/>
  <c r="N28" i="20"/>
  <c r="N30" i="20" s="1"/>
  <c r="O14" i="23"/>
  <c r="P14" i="23" s="1"/>
  <c r="N66" i="20"/>
  <c r="AA5" i="24"/>
  <c r="I13" i="23"/>
  <c r="I68" i="20"/>
  <c r="I75" i="20" s="1"/>
  <c r="I77" i="20" s="1"/>
  <c r="I85" i="20" s="1"/>
  <c r="R69" i="3"/>
  <c r="R11" i="3"/>
  <c r="R15" i="3" s="1"/>
  <c r="AI18" i="24"/>
  <c r="AI19" i="24" s="1"/>
  <c r="AJ69" i="3"/>
  <c r="Y32" i="24"/>
  <c r="AA26" i="24"/>
  <c r="AA31" i="24" s="1"/>
  <c r="AA10" i="24"/>
  <c r="AA20" i="24"/>
  <c r="AB20" i="24" s="1"/>
  <c r="Z25" i="24"/>
  <c r="AM13" i="24"/>
  <c r="AL16" i="24"/>
  <c r="R21" i="2"/>
  <c r="R17" i="2"/>
  <c r="O29" i="2"/>
  <c r="P19" i="2"/>
  <c r="R22" i="2"/>
  <c r="R12" i="2"/>
  <c r="R14" i="2"/>
  <c r="AD67" i="3"/>
  <c r="H31" i="22"/>
  <c r="I31" i="22" s="1"/>
  <c r="J31" i="22" s="1"/>
  <c r="D20" i="22"/>
  <c r="W20" i="22"/>
  <c r="J81" i="20" s="1"/>
  <c r="J83" i="20" s="1"/>
  <c r="S41" i="22"/>
  <c r="T41" i="22" s="1"/>
  <c r="R42" i="22" s="1"/>
  <c r="N55" i="22"/>
  <c r="O55" i="22" s="1"/>
  <c r="M56" i="22" s="1"/>
  <c r="Q24" i="2"/>
  <c r="H89" i="20"/>
  <c r="H45" i="20" s="1"/>
  <c r="H50" i="20" s="1"/>
  <c r="H35" i="20"/>
  <c r="Q15" i="2"/>
  <c r="R13" i="2"/>
  <c r="R18" i="2"/>
  <c r="R23" i="2"/>
  <c r="R20" i="2"/>
  <c r="S11" i="2"/>
  <c r="Q19" i="2"/>
  <c r="V8" i="2"/>
  <c r="R59" i="20"/>
  <c r="R63" i="20" s="1"/>
  <c r="AO5" i="1"/>
  <c r="AK6" i="3"/>
  <c r="AK9" i="27" s="1"/>
  <c r="AK11" i="27" s="1"/>
  <c r="R7" i="20"/>
  <c r="U18" i="1"/>
  <c r="U19" i="1" s="1"/>
  <c r="U20" i="1" s="1"/>
  <c r="P71" i="20"/>
  <c r="O17" i="20"/>
  <c r="T64" i="3"/>
  <c r="S8" i="23"/>
  <c r="R10" i="23"/>
  <c r="AB43" i="20"/>
  <c r="M21" i="20"/>
  <c r="Q63" i="20"/>
  <c r="O63" i="20"/>
  <c r="T9" i="2"/>
  <c r="AJ5" i="2"/>
  <c r="R25" i="3"/>
  <c r="R26" i="3" s="1"/>
  <c r="S22" i="3"/>
  <c r="S24" i="3" s="1"/>
  <c r="S53" i="3" s="1"/>
  <c r="AG16" i="3"/>
  <c r="T18" i="3"/>
  <c r="T19" i="3" s="1"/>
  <c r="S21" i="3"/>
  <c r="S9" i="3"/>
  <c r="S11" i="3" s="1"/>
  <c r="T12" i="3"/>
  <c r="T14" i="3" s="1"/>
  <c r="T5" i="3"/>
  <c r="X6" i="1"/>
  <c r="W10" i="1"/>
  <c r="W13" i="1" s="1"/>
  <c r="W16" i="1" s="1"/>
  <c r="AH8" i="1"/>
  <c r="AJ12" i="27" l="1"/>
  <c r="AJ14" i="27"/>
  <c r="AJ16" i="27"/>
  <c r="AJ22" i="27"/>
  <c r="AJ23" i="27"/>
  <c r="AJ13" i="27"/>
  <c r="AJ18" i="27"/>
  <c r="AJ17" i="27"/>
  <c r="AJ20" i="27"/>
  <c r="AJ21" i="27"/>
  <c r="AC19" i="27"/>
  <c r="V29" i="27"/>
  <c r="AC29" i="27" s="1"/>
  <c r="AK21" i="27"/>
  <c r="AK20" i="27"/>
  <c r="AK12" i="27"/>
  <c r="AK23" i="27"/>
  <c r="AK16" i="27"/>
  <c r="AK14" i="27"/>
  <c r="AK18" i="27"/>
  <c r="AK17" i="27"/>
  <c r="AK22" i="27"/>
  <c r="AK13" i="27"/>
  <c r="AJ26" i="27"/>
  <c r="AK25" i="27"/>
  <c r="BN25" i="2"/>
  <c r="B10" i="26"/>
  <c r="E8" i="25"/>
  <c r="T16" i="20"/>
  <c r="T8" i="3"/>
  <c r="AA9" i="24"/>
  <c r="AB9" i="24" s="1"/>
  <c r="AB5" i="24"/>
  <c r="P45" i="3"/>
  <c r="AA12" i="24"/>
  <c r="AB12" i="24" s="1"/>
  <c r="AB10" i="24"/>
  <c r="BK17" i="24"/>
  <c r="BI62" i="3"/>
  <c r="BJ5" i="23"/>
  <c r="M60" i="3"/>
  <c r="AK44" i="3"/>
  <c r="AJ47" i="3"/>
  <c r="AF29" i="3"/>
  <c r="AE30" i="3"/>
  <c r="AG34" i="3"/>
  <c r="AE48" i="3"/>
  <c r="AD51" i="3"/>
  <c r="O37" i="3"/>
  <c r="N43" i="3"/>
  <c r="N39" i="3"/>
  <c r="AH52" i="3"/>
  <c r="AG55" i="3"/>
  <c r="AG40" i="3"/>
  <c r="AF42" i="3"/>
  <c r="AG31" i="3"/>
  <c r="AF33" i="3"/>
  <c r="S45" i="3"/>
  <c r="S49" i="3"/>
  <c r="P25" i="3"/>
  <c r="O26" i="3"/>
  <c r="P26" i="3" s="1"/>
  <c r="T20" i="1"/>
  <c r="Q73" i="20" s="1"/>
  <c r="R73" i="20" s="1"/>
  <c r="Q16" i="23"/>
  <c r="O73" i="20"/>
  <c r="P73" i="20" s="1"/>
  <c r="S20" i="1"/>
  <c r="S10" i="23"/>
  <c r="I17" i="23"/>
  <c r="I19" i="23" s="1"/>
  <c r="C35" i="23" s="1"/>
  <c r="O66" i="20"/>
  <c r="P66" i="20" s="1"/>
  <c r="R19" i="2"/>
  <c r="S17" i="2"/>
  <c r="P29" i="2"/>
  <c r="Q14" i="23"/>
  <c r="AC5" i="24"/>
  <c r="AC9" i="24" s="1"/>
  <c r="AJ18" i="24"/>
  <c r="AJ19" i="24" s="1"/>
  <c r="AK69" i="3"/>
  <c r="J66" i="3"/>
  <c r="Z32" i="24"/>
  <c r="AB31" i="24"/>
  <c r="AC26" i="24"/>
  <c r="AC31" i="24" s="1"/>
  <c r="AC10" i="24"/>
  <c r="AC12" i="24" s="1"/>
  <c r="AC20" i="24"/>
  <c r="AA25" i="24"/>
  <c r="AN13" i="24"/>
  <c r="AM16" i="24"/>
  <c r="AB16" i="24"/>
  <c r="O28" i="20"/>
  <c r="O30" i="20" s="1"/>
  <c r="P30" i="20" s="1"/>
  <c r="R15" i="2"/>
  <c r="R24" i="2"/>
  <c r="S20" i="2"/>
  <c r="AE67" i="3"/>
  <c r="H32" i="22"/>
  <c r="I32" i="22" s="1"/>
  <c r="J32" i="22" s="1"/>
  <c r="X20" i="22"/>
  <c r="E20" i="22"/>
  <c r="S42" i="22"/>
  <c r="T42" i="22" s="1"/>
  <c r="R43" i="22" s="1"/>
  <c r="N56" i="22"/>
  <c r="O56" i="22" s="1"/>
  <c r="T26" i="2"/>
  <c r="T28" i="2"/>
  <c r="S14" i="2"/>
  <c r="S22" i="2"/>
  <c r="S16" i="2"/>
  <c r="I87" i="20"/>
  <c r="I89" i="20" s="1"/>
  <c r="I45" i="20" s="1"/>
  <c r="I50" i="20" s="1"/>
  <c r="H38" i="20"/>
  <c r="H40" i="20" s="1"/>
  <c r="H52" i="20" s="1"/>
  <c r="H54" i="20" s="1"/>
  <c r="S21" i="2"/>
  <c r="S12" i="2"/>
  <c r="Q29" i="2"/>
  <c r="S18" i="2"/>
  <c r="S23" i="2"/>
  <c r="S13" i="2"/>
  <c r="T11" i="2"/>
  <c r="W8" i="2"/>
  <c r="AP5" i="1"/>
  <c r="AL6" i="3"/>
  <c r="AL9" i="27" s="1"/>
  <c r="AL11" i="27" s="1"/>
  <c r="R17" i="20"/>
  <c r="R21" i="20" s="1"/>
  <c r="Q17" i="20"/>
  <c r="S17" i="20"/>
  <c r="S21" i="20" s="1"/>
  <c r="U64" i="3"/>
  <c r="S7" i="20"/>
  <c r="V18" i="1"/>
  <c r="S59" i="20"/>
  <c r="S63" i="20" s="1"/>
  <c r="P63" i="20"/>
  <c r="AC43" i="20"/>
  <c r="AD43" i="20" s="1"/>
  <c r="T8" i="23"/>
  <c r="N21" i="20"/>
  <c r="P17" i="20"/>
  <c r="U9" i="2"/>
  <c r="U26" i="2" s="1"/>
  <c r="AK5" i="2"/>
  <c r="S25" i="3"/>
  <c r="S26" i="3" s="1"/>
  <c r="T22" i="3"/>
  <c r="T24" i="3" s="1"/>
  <c r="T53" i="3" s="1"/>
  <c r="AH16" i="3"/>
  <c r="U18" i="3"/>
  <c r="U19" i="3" s="1"/>
  <c r="T21" i="3"/>
  <c r="T9" i="3"/>
  <c r="S15" i="3"/>
  <c r="U12" i="3"/>
  <c r="U14" i="3" s="1"/>
  <c r="U5" i="3"/>
  <c r="U8" i="3" s="1"/>
  <c r="Y6" i="1"/>
  <c r="X10" i="1"/>
  <c r="X13" i="1" s="1"/>
  <c r="AI8" i="1"/>
  <c r="D16" i="25" l="1"/>
  <c r="AL21" i="27"/>
  <c r="AL23" i="27"/>
  <c r="AL16" i="27"/>
  <c r="AL22" i="27"/>
  <c r="AL17" i="27"/>
  <c r="AL13" i="27"/>
  <c r="AL14" i="27"/>
  <c r="AL12" i="27"/>
  <c r="AL20" i="27"/>
  <c r="AL18" i="27"/>
  <c r="AK15" i="27"/>
  <c r="AJ24" i="27"/>
  <c r="AJ15" i="27"/>
  <c r="AJ29" i="27" s="1"/>
  <c r="AK24" i="27"/>
  <c r="N60" i="3"/>
  <c r="AK19" i="27"/>
  <c r="AJ19" i="27"/>
  <c r="AK26" i="27"/>
  <c r="AK29" i="27" s="1"/>
  <c r="AL25" i="27"/>
  <c r="D18" i="25"/>
  <c r="D20" i="25" s="1"/>
  <c r="D24" i="25" s="1"/>
  <c r="B8" i="26"/>
  <c r="BL17" i="24"/>
  <c r="BO25" i="2"/>
  <c r="AN16" i="24"/>
  <c r="AP13" i="24"/>
  <c r="AO13" i="24"/>
  <c r="BJ62" i="3"/>
  <c r="BK5" i="23"/>
  <c r="I5" i="20"/>
  <c r="I10" i="20" s="1"/>
  <c r="I23" i="20" s="1"/>
  <c r="I23" i="23"/>
  <c r="T49" i="3"/>
  <c r="T45" i="3"/>
  <c r="AH55" i="3"/>
  <c r="AI52" i="3"/>
  <c r="AK47" i="3"/>
  <c r="AL44" i="3"/>
  <c r="AG29" i="3"/>
  <c r="AF30" i="3"/>
  <c r="O38" i="3"/>
  <c r="P37" i="3"/>
  <c r="AH34" i="3"/>
  <c r="AG33" i="3"/>
  <c r="AH31" i="3"/>
  <c r="AF48" i="3"/>
  <c r="AE51" i="3"/>
  <c r="AH40" i="3"/>
  <c r="AG42" i="3"/>
  <c r="X16" i="1"/>
  <c r="U16" i="20"/>
  <c r="S16" i="23"/>
  <c r="P28" i="20"/>
  <c r="T23" i="2"/>
  <c r="Q66" i="20"/>
  <c r="R14" i="23"/>
  <c r="T71" i="20"/>
  <c r="AD10" i="24"/>
  <c r="AD12" i="24" s="1"/>
  <c r="AD5" i="24"/>
  <c r="AD9" i="24" s="1"/>
  <c r="T69" i="3"/>
  <c r="T11" i="3"/>
  <c r="T15" i="3" s="1"/>
  <c r="AK18" i="24"/>
  <c r="AK19" i="24" s="1"/>
  <c r="AL69" i="3"/>
  <c r="K66" i="3"/>
  <c r="K13" i="23" s="1"/>
  <c r="K17" i="23" s="1"/>
  <c r="K19" i="23" s="1"/>
  <c r="AB25" i="24"/>
  <c r="AA32" i="24"/>
  <c r="AB32" i="24" s="1"/>
  <c r="AD26" i="24"/>
  <c r="AD31" i="24" s="1"/>
  <c r="AC25" i="24"/>
  <c r="AD20" i="24"/>
  <c r="T18" i="2"/>
  <c r="R29" i="2"/>
  <c r="S24" i="2"/>
  <c r="S15" i="2"/>
  <c r="S19" i="2"/>
  <c r="M57" i="22"/>
  <c r="N57" i="22" s="1"/>
  <c r="O57" i="22" s="1"/>
  <c r="H33" i="22"/>
  <c r="I33" i="22" s="1"/>
  <c r="J33" i="22" s="1"/>
  <c r="Y20" i="22"/>
  <c r="J33" i="20" s="1"/>
  <c r="C21" i="22"/>
  <c r="S43" i="22"/>
  <c r="T43" i="22" s="1"/>
  <c r="R44" i="22" s="1"/>
  <c r="T16" i="2"/>
  <c r="Q28" i="20"/>
  <c r="Q30" i="20" s="1"/>
  <c r="J13" i="23"/>
  <c r="J17" i="23" s="1"/>
  <c r="J19" i="23" s="1"/>
  <c r="C36" i="23" s="1"/>
  <c r="J68" i="20"/>
  <c r="I35" i="20"/>
  <c r="T21" i="2"/>
  <c r="T13" i="2"/>
  <c r="T22" i="2"/>
  <c r="T14" i="2"/>
  <c r="T20" i="2"/>
  <c r="U11" i="2"/>
  <c r="T12" i="2"/>
  <c r="T17" i="2"/>
  <c r="X8" i="2"/>
  <c r="AQ5" i="1"/>
  <c r="AM6" i="3"/>
  <c r="AM9" i="27" s="1"/>
  <c r="V64" i="3"/>
  <c r="T7" i="20"/>
  <c r="W18" i="1"/>
  <c r="W19" i="1" s="1"/>
  <c r="W20" i="1" s="1"/>
  <c r="V19" i="1"/>
  <c r="T59" i="20"/>
  <c r="U8" i="23"/>
  <c r="U10" i="23" s="1"/>
  <c r="T10" i="23"/>
  <c r="AE43" i="20"/>
  <c r="O21" i="20"/>
  <c r="P21" i="20" s="1"/>
  <c r="V9" i="2"/>
  <c r="V26" i="2" s="1"/>
  <c r="AL5" i="2"/>
  <c r="U22" i="3"/>
  <c r="U24" i="3" s="1"/>
  <c r="U53" i="3" s="1"/>
  <c r="T25" i="3"/>
  <c r="T26" i="3" s="1"/>
  <c r="AI16" i="3"/>
  <c r="V18" i="3"/>
  <c r="V19" i="3" s="1"/>
  <c r="U21" i="3"/>
  <c r="U9" i="3"/>
  <c r="V12" i="3"/>
  <c r="V14" i="3" s="1"/>
  <c r="V5" i="3"/>
  <c r="V8" i="3" s="1"/>
  <c r="Z6" i="1"/>
  <c r="Y10" i="1"/>
  <c r="Y13" i="1" s="1"/>
  <c r="Y16" i="1" s="1"/>
  <c r="AJ8" i="1"/>
  <c r="AL24" i="27" l="1"/>
  <c r="AL15" i="27"/>
  <c r="AM11" i="27"/>
  <c r="AM28" i="27"/>
  <c r="AP28" i="27" s="1"/>
  <c r="AL19" i="27"/>
  <c r="AL26" i="27"/>
  <c r="AM25" i="27"/>
  <c r="B24" i="26"/>
  <c r="AP16" i="24"/>
  <c r="AQ13" i="24"/>
  <c r="BK62" i="3"/>
  <c r="BM17" i="24"/>
  <c r="BP25" i="2"/>
  <c r="BL5" i="23"/>
  <c r="K23" i="23"/>
  <c r="C37" i="23"/>
  <c r="J5" i="20"/>
  <c r="K5" i="20" s="1"/>
  <c r="J23" i="23"/>
  <c r="AI31" i="3"/>
  <c r="AH33" i="3"/>
  <c r="AI55" i="3"/>
  <c r="AJ52" i="3"/>
  <c r="AF51" i="3"/>
  <c r="AG48" i="3"/>
  <c r="O43" i="3"/>
  <c r="P43" i="3" s="1"/>
  <c r="P38" i="3"/>
  <c r="Q37" i="3"/>
  <c r="Q38" i="3" s="1"/>
  <c r="O39" i="3"/>
  <c r="AM44" i="3"/>
  <c r="AL47" i="3"/>
  <c r="U45" i="3"/>
  <c r="U49" i="3"/>
  <c r="AG30" i="3"/>
  <c r="AH29" i="3"/>
  <c r="AI40" i="3"/>
  <c r="AH42" i="3"/>
  <c r="AI34" i="3"/>
  <c r="U71" i="20"/>
  <c r="U17" i="20" s="1"/>
  <c r="U21" i="20" s="1"/>
  <c r="V20" i="1"/>
  <c r="S73" i="20" s="1"/>
  <c r="T73" i="20" s="1"/>
  <c r="V16" i="20"/>
  <c r="R66" i="20"/>
  <c r="U23" i="2"/>
  <c r="R28" i="20"/>
  <c r="R30" i="20" s="1"/>
  <c r="S14" i="23"/>
  <c r="T17" i="20"/>
  <c r="T21" i="20" s="1"/>
  <c r="AE10" i="24"/>
  <c r="AE12" i="24" s="1"/>
  <c r="AE5" i="24"/>
  <c r="AE9" i="24" s="1"/>
  <c r="L66" i="3"/>
  <c r="L13" i="23" s="1"/>
  <c r="L17" i="23" s="1"/>
  <c r="L19" i="23" s="1"/>
  <c r="AL18" i="24"/>
  <c r="AL19" i="24" s="1"/>
  <c r="AM69" i="3"/>
  <c r="U69" i="3"/>
  <c r="U11" i="3"/>
  <c r="U15" i="3" s="1"/>
  <c r="AC32" i="24"/>
  <c r="AE26" i="24"/>
  <c r="AE31" i="24" s="1"/>
  <c r="AD25" i="24"/>
  <c r="AD32" i="24" s="1"/>
  <c r="AE20" i="24"/>
  <c r="U18" i="2"/>
  <c r="S29" i="2"/>
  <c r="T14" i="23" s="1"/>
  <c r="U13" i="2"/>
  <c r="U20" i="2"/>
  <c r="U14" i="2"/>
  <c r="U21" i="2"/>
  <c r="T19" i="2"/>
  <c r="U16" i="2"/>
  <c r="T15" i="2"/>
  <c r="M58" i="22"/>
  <c r="N58" i="22" s="1"/>
  <c r="O58" i="22" s="1"/>
  <c r="M59" i="22" s="1"/>
  <c r="N59" i="22" s="1"/>
  <c r="O59" i="22" s="1"/>
  <c r="H34" i="22"/>
  <c r="I34" i="22" s="1"/>
  <c r="J34" i="22" s="1"/>
  <c r="D21" i="22"/>
  <c r="W21" i="22"/>
  <c r="K81" i="20" s="1"/>
  <c r="K83" i="20" s="1"/>
  <c r="S44" i="22"/>
  <c r="T44" i="22" s="1"/>
  <c r="R45" i="22" s="1"/>
  <c r="J75" i="20"/>
  <c r="J77" i="20" s="1"/>
  <c r="J85" i="20" s="1"/>
  <c r="J87" i="20" s="1"/>
  <c r="J89" i="20" s="1"/>
  <c r="J45" i="20" s="1"/>
  <c r="J50" i="20" s="1"/>
  <c r="K68" i="20"/>
  <c r="I38" i="20"/>
  <c r="I40" i="20" s="1"/>
  <c r="I52" i="20" s="1"/>
  <c r="I54" i="20" s="1"/>
  <c r="U12" i="2"/>
  <c r="U17" i="2"/>
  <c r="U22" i="2"/>
  <c r="T24" i="2"/>
  <c r="V11" i="2"/>
  <c r="Y8" i="2"/>
  <c r="AR5" i="1"/>
  <c r="AN6" i="3"/>
  <c r="AN9" i="27" s="1"/>
  <c r="AN11" i="27" s="1"/>
  <c r="W64" i="3"/>
  <c r="U7" i="20"/>
  <c r="X18" i="1"/>
  <c r="U16" i="23"/>
  <c r="U59" i="20"/>
  <c r="V8" i="23"/>
  <c r="Q21" i="20"/>
  <c r="AF43" i="20"/>
  <c r="T63" i="20"/>
  <c r="W9" i="2"/>
  <c r="AM5" i="2"/>
  <c r="U25" i="3"/>
  <c r="U26" i="3" s="1"/>
  <c r="V22" i="3"/>
  <c r="V24" i="3" s="1"/>
  <c r="V53" i="3" s="1"/>
  <c r="AJ16" i="3"/>
  <c r="W18" i="3"/>
  <c r="W19" i="3" s="1"/>
  <c r="V21" i="3"/>
  <c r="V9" i="3"/>
  <c r="W12" i="3"/>
  <c r="W14" i="3" s="1"/>
  <c r="W5" i="3"/>
  <c r="W8" i="3" s="1"/>
  <c r="AA6" i="1"/>
  <c r="Z10" i="1"/>
  <c r="Z13" i="1" s="1"/>
  <c r="Z16" i="1" s="1"/>
  <c r="AK8" i="1"/>
  <c r="AN22" i="27" l="1"/>
  <c r="AN12" i="27"/>
  <c r="AN21" i="27"/>
  <c r="AN18" i="27"/>
  <c r="AN23" i="27"/>
  <c r="AN17" i="27"/>
  <c r="AN20" i="27"/>
  <c r="AN13" i="27"/>
  <c r="AN16" i="27"/>
  <c r="AN19" i="27" s="1"/>
  <c r="AN14" i="27"/>
  <c r="AM21" i="27"/>
  <c r="AM18" i="27"/>
  <c r="AM22" i="27"/>
  <c r="AM17" i="27"/>
  <c r="AM14" i="27"/>
  <c r="AM13" i="27"/>
  <c r="AM16" i="27"/>
  <c r="AM23" i="27"/>
  <c r="AM20" i="27"/>
  <c r="AM12" i="27"/>
  <c r="AL29" i="27"/>
  <c r="AN25" i="27"/>
  <c r="AM26" i="27"/>
  <c r="BL62" i="3"/>
  <c r="AO6" i="3"/>
  <c r="AT5" i="1"/>
  <c r="BN17" i="24"/>
  <c r="AR13" i="24"/>
  <c r="AQ16" i="24"/>
  <c r="BM5" i="23"/>
  <c r="L23" i="23"/>
  <c r="C38" i="23"/>
  <c r="J10" i="20"/>
  <c r="J23" i="20" s="1"/>
  <c r="AF10" i="24"/>
  <c r="AF12" i="24" s="1"/>
  <c r="R37" i="3"/>
  <c r="R38" i="3" s="1"/>
  <c r="Q43" i="3"/>
  <c r="Q39" i="3"/>
  <c r="AJ40" i="3"/>
  <c r="AI42" i="3"/>
  <c r="V45" i="3"/>
  <c r="O60" i="3"/>
  <c r="P60" i="3" s="1"/>
  <c r="P39" i="3"/>
  <c r="AH48" i="3"/>
  <c r="AG51" i="3"/>
  <c r="AJ34" i="3"/>
  <c r="AH30" i="3"/>
  <c r="AI29" i="3"/>
  <c r="AI33" i="3"/>
  <c r="AJ31" i="3"/>
  <c r="AJ55" i="3"/>
  <c r="AK52" i="3"/>
  <c r="V49" i="3"/>
  <c r="AN44" i="3"/>
  <c r="AM47" i="3"/>
  <c r="V71" i="20"/>
  <c r="V17" i="20" s="1"/>
  <c r="V21" i="20" s="1"/>
  <c r="W16" i="20"/>
  <c r="S66" i="20"/>
  <c r="V23" i="2"/>
  <c r="AF5" i="24"/>
  <c r="AF9" i="24" s="1"/>
  <c r="M66" i="3"/>
  <c r="M13" i="23" s="1"/>
  <c r="M17" i="23" s="1"/>
  <c r="M19" i="23" s="1"/>
  <c r="V69" i="3"/>
  <c r="V11" i="3"/>
  <c r="V15" i="3" s="1"/>
  <c r="AN69" i="3"/>
  <c r="AM18" i="24"/>
  <c r="AM19" i="24" s="1"/>
  <c r="AF26" i="24"/>
  <c r="AF31" i="24" s="1"/>
  <c r="AF20" i="24"/>
  <c r="AE25" i="24"/>
  <c r="U24" i="2"/>
  <c r="V14" i="2"/>
  <c r="S28" i="20"/>
  <c r="S30" i="20" s="1"/>
  <c r="V21" i="2"/>
  <c r="T29" i="2"/>
  <c r="U14" i="23" s="1"/>
  <c r="V18" i="2"/>
  <c r="V13" i="2"/>
  <c r="V20" i="2"/>
  <c r="U19" i="2"/>
  <c r="V16" i="2"/>
  <c r="U15" i="2"/>
  <c r="M60" i="22"/>
  <c r="N60" i="22" s="1"/>
  <c r="O60" i="22" s="1"/>
  <c r="H35" i="22"/>
  <c r="I35" i="22" s="1"/>
  <c r="J35" i="22" s="1"/>
  <c r="X21" i="22"/>
  <c r="E21" i="22"/>
  <c r="S45" i="22"/>
  <c r="T45" i="22" s="1"/>
  <c r="R46" i="22" s="1"/>
  <c r="W26" i="2"/>
  <c r="W28" i="2"/>
  <c r="J35" i="20"/>
  <c r="J38" i="20" s="1"/>
  <c r="J40" i="20" s="1"/>
  <c r="J52" i="20" s="1"/>
  <c r="K10" i="20"/>
  <c r="K23" i="20" s="1"/>
  <c r="L5" i="20"/>
  <c r="L10" i="20" s="1"/>
  <c r="L23" i="20" s="1"/>
  <c r="L68" i="20"/>
  <c r="K75" i="20"/>
  <c r="K77" i="20" s="1"/>
  <c r="K85" i="20" s="1"/>
  <c r="K87" i="20" s="1"/>
  <c r="K89" i="20" s="1"/>
  <c r="K45" i="20" s="1"/>
  <c r="K50" i="20" s="1"/>
  <c r="V12" i="2"/>
  <c r="V17" i="2"/>
  <c r="V22" i="2"/>
  <c r="W11" i="2"/>
  <c r="Z8" i="2"/>
  <c r="X64" i="3"/>
  <c r="V7" i="20"/>
  <c r="Y18" i="1"/>
  <c r="Y19" i="1" s="1"/>
  <c r="Y20" i="1" s="1"/>
  <c r="X19" i="1"/>
  <c r="V59" i="20"/>
  <c r="U63" i="20"/>
  <c r="W8" i="23"/>
  <c r="W10" i="23" s="1"/>
  <c r="V10" i="23"/>
  <c r="AG43" i="20"/>
  <c r="X9" i="2"/>
  <c r="X26" i="2" s="1"/>
  <c r="AN5" i="2"/>
  <c r="V25" i="3"/>
  <c r="V26" i="3" s="1"/>
  <c r="W22" i="3"/>
  <c r="W24" i="3" s="1"/>
  <c r="W53" i="3" s="1"/>
  <c r="AK16" i="3"/>
  <c r="X18" i="3"/>
  <c r="X19" i="3" s="1"/>
  <c r="W21" i="3"/>
  <c r="W9" i="3"/>
  <c r="X12" i="3"/>
  <c r="X14" i="3" s="1"/>
  <c r="X5" i="3"/>
  <c r="X8" i="3" s="1"/>
  <c r="AB6" i="1"/>
  <c r="AA10" i="1"/>
  <c r="AA13" i="1" s="1"/>
  <c r="AA16" i="1" s="1"/>
  <c r="AL8" i="1"/>
  <c r="AM19" i="27" l="1"/>
  <c r="AM29" i="27"/>
  <c r="AM24" i="27"/>
  <c r="AN24" i="27"/>
  <c r="AN15" i="27"/>
  <c r="AP6" i="3"/>
  <c r="AO9" i="27"/>
  <c r="AM15" i="27"/>
  <c r="AN26" i="27"/>
  <c r="AO25" i="27"/>
  <c r="AU5" i="1"/>
  <c r="AQ6" i="3"/>
  <c r="AQ9" i="27" s="1"/>
  <c r="AR16" i="24"/>
  <c r="AS13" i="24"/>
  <c r="AO69" i="3"/>
  <c r="AN18" i="24"/>
  <c r="BO17" i="24"/>
  <c r="BM62" i="3"/>
  <c r="J54" i="20"/>
  <c r="BN5" i="23"/>
  <c r="M23" i="23"/>
  <c r="C39" i="23"/>
  <c r="AG10" i="24"/>
  <c r="AG12" i="24" s="1"/>
  <c r="W45" i="3"/>
  <c r="AO44" i="3"/>
  <c r="AN47" i="3"/>
  <c r="AJ29" i="3"/>
  <c r="AI30" i="3"/>
  <c r="W49" i="3"/>
  <c r="AH51" i="3"/>
  <c r="AI48" i="3"/>
  <c r="S37" i="3"/>
  <c r="S38" i="3" s="1"/>
  <c r="R43" i="3"/>
  <c r="R39" i="3"/>
  <c r="AK34" i="3"/>
  <c r="Q60" i="3"/>
  <c r="AL52" i="3"/>
  <c r="AK55" i="3"/>
  <c r="AK31" i="3"/>
  <c r="AJ33" i="3"/>
  <c r="AK40" i="3"/>
  <c r="AJ42" i="3"/>
  <c r="W71" i="20"/>
  <c r="W17" i="20" s="1"/>
  <c r="W21" i="20" s="1"/>
  <c r="X20" i="1"/>
  <c r="U73" i="20" s="1"/>
  <c r="V73" i="20" s="1"/>
  <c r="X16" i="20"/>
  <c r="T66" i="20"/>
  <c r="W20" i="2"/>
  <c r="AG5" i="24"/>
  <c r="AG9" i="24" s="1"/>
  <c r="W11" i="3"/>
  <c r="W15" i="3" s="1"/>
  <c r="W69" i="3"/>
  <c r="AE32" i="24"/>
  <c r="AG26" i="24"/>
  <c r="AG31" i="24" s="1"/>
  <c r="AG20" i="24"/>
  <c r="AF25" i="24"/>
  <c r="T28" i="20"/>
  <c r="T30" i="20" s="1"/>
  <c r="V15" i="2"/>
  <c r="U29" i="2"/>
  <c r="V14" i="23" s="1"/>
  <c r="V19" i="2"/>
  <c r="V24" i="2"/>
  <c r="M61" i="22"/>
  <c r="N61" i="22" s="1"/>
  <c r="O61" i="22" s="1"/>
  <c r="H36" i="22"/>
  <c r="I36" i="22" s="1"/>
  <c r="J36" i="22" s="1"/>
  <c r="Y21" i="22"/>
  <c r="K33" i="20" s="1"/>
  <c r="C22" i="22"/>
  <c r="S46" i="22"/>
  <c r="T46" i="22" s="1"/>
  <c r="R47" i="22" s="1"/>
  <c r="M5" i="20"/>
  <c r="M10" i="20" s="1"/>
  <c r="M23" i="20" s="1"/>
  <c r="L75" i="20"/>
  <c r="L77" i="20" s="1"/>
  <c r="M68" i="20"/>
  <c r="K35" i="20"/>
  <c r="W23" i="2"/>
  <c r="X11" i="2"/>
  <c r="W13" i="2"/>
  <c r="W16" i="2"/>
  <c r="W21" i="2"/>
  <c r="W14" i="2"/>
  <c r="W17" i="2"/>
  <c r="W22" i="2"/>
  <c r="W12" i="2"/>
  <c r="W18" i="2"/>
  <c r="AA8" i="2"/>
  <c r="Y64" i="3"/>
  <c r="W7" i="20"/>
  <c r="Z18" i="1"/>
  <c r="W59" i="20"/>
  <c r="W63" i="20" s="1"/>
  <c r="V63" i="20"/>
  <c r="X8" i="23"/>
  <c r="AH43" i="20"/>
  <c r="Y9" i="2"/>
  <c r="Y26" i="2" s="1"/>
  <c r="AO5" i="2"/>
  <c r="AP5" i="2" s="1"/>
  <c r="W25" i="3"/>
  <c r="W26" i="3" s="1"/>
  <c r="X22" i="3"/>
  <c r="X24" i="3" s="1"/>
  <c r="AL16" i="3"/>
  <c r="Y18" i="3"/>
  <c r="Y19" i="3" s="1"/>
  <c r="X21" i="3"/>
  <c r="X9" i="3"/>
  <c r="Y12" i="3"/>
  <c r="Y14" i="3" s="1"/>
  <c r="Y5" i="3"/>
  <c r="Y8" i="3" s="1"/>
  <c r="AC6" i="1"/>
  <c r="AB10" i="1"/>
  <c r="AB13" i="1" s="1"/>
  <c r="AB16" i="1" s="1"/>
  <c r="AM8" i="1"/>
  <c r="AN29" i="27" l="1"/>
  <c r="AQ11" i="27"/>
  <c r="AQ28" i="27"/>
  <c r="AP9" i="27"/>
  <c r="AO11" i="27"/>
  <c r="AQ25" i="27"/>
  <c r="AO26" i="27"/>
  <c r="AP25" i="27"/>
  <c r="X45" i="3"/>
  <c r="W16" i="23"/>
  <c r="AT13" i="24"/>
  <c r="AS16" i="24"/>
  <c r="AO47" i="3"/>
  <c r="AP47" i="3" s="1"/>
  <c r="AQ44" i="3"/>
  <c r="AP44" i="3"/>
  <c r="AN19" i="24"/>
  <c r="AO19" i="24" s="1"/>
  <c r="AO18" i="24"/>
  <c r="AP18" i="24"/>
  <c r="AP19" i="24" s="1"/>
  <c r="AQ9" i="2"/>
  <c r="AQ64" i="3"/>
  <c r="BN62" i="3"/>
  <c r="AV5" i="1"/>
  <c r="AR6" i="3"/>
  <c r="AR9" i="27" s="1"/>
  <c r="AR11" i="27" s="1"/>
  <c r="BO5" i="23"/>
  <c r="AH10" i="24"/>
  <c r="AH12" i="24" s="1"/>
  <c r="X49" i="3"/>
  <c r="AK42" i="3"/>
  <c r="AL40" i="3"/>
  <c r="AJ48" i="3"/>
  <c r="AI51" i="3"/>
  <c r="X53" i="3"/>
  <c r="AM52" i="3"/>
  <c r="AL55" i="3"/>
  <c r="AL34" i="3"/>
  <c r="T37" i="3"/>
  <c r="T38" i="3" s="1"/>
  <c r="S43" i="3"/>
  <c r="S39" i="3"/>
  <c r="AK29" i="3"/>
  <c r="AJ30" i="3"/>
  <c r="AL31" i="3"/>
  <c r="AK33" i="3"/>
  <c r="R60" i="3"/>
  <c r="X71" i="20"/>
  <c r="X17" i="20" s="1"/>
  <c r="X21" i="20" s="1"/>
  <c r="Y16" i="20"/>
  <c r="U66" i="20"/>
  <c r="X22" i="2"/>
  <c r="AH5" i="24"/>
  <c r="AH9" i="24" s="1"/>
  <c r="X11" i="3"/>
  <c r="X15" i="3" s="1"/>
  <c r="X69" i="3"/>
  <c r="AF32" i="24"/>
  <c r="AH26" i="24"/>
  <c r="AH31" i="24" s="1"/>
  <c r="AG25" i="24"/>
  <c r="AH20" i="24"/>
  <c r="AI10" i="24"/>
  <c r="AI12" i="24" s="1"/>
  <c r="U28" i="20"/>
  <c r="U30" i="20" s="1"/>
  <c r="V29" i="2"/>
  <c r="W14" i="23" s="1"/>
  <c r="X17" i="2"/>
  <c r="X12" i="2"/>
  <c r="X20" i="2"/>
  <c r="X14" i="2"/>
  <c r="X21" i="2"/>
  <c r="X16" i="2"/>
  <c r="M62" i="22"/>
  <c r="N62" i="22" s="1"/>
  <c r="O62" i="22" s="1"/>
  <c r="H37" i="22"/>
  <c r="I37" i="22" s="1"/>
  <c r="J37" i="22" s="1"/>
  <c r="K38" i="20"/>
  <c r="K40" i="20" s="1"/>
  <c r="K52" i="20" s="1"/>
  <c r="K54" i="20" s="1"/>
  <c r="W22" i="22"/>
  <c r="L81" i="20" s="1"/>
  <c r="L83" i="20" s="1"/>
  <c r="L85" i="20" s="1"/>
  <c r="L87" i="20" s="1"/>
  <c r="D22" i="22"/>
  <c r="S47" i="22"/>
  <c r="T47" i="22" s="1"/>
  <c r="R48" i="22" s="1"/>
  <c r="W24" i="2"/>
  <c r="M75" i="20"/>
  <c r="M77" i="20" s="1"/>
  <c r="N66" i="3"/>
  <c r="N68" i="20" s="1"/>
  <c r="W15" i="2"/>
  <c r="X13" i="2"/>
  <c r="X18" i="2"/>
  <c r="X23" i="2"/>
  <c r="W19" i="2"/>
  <c r="Y11" i="2"/>
  <c r="AB8" i="2"/>
  <c r="AC8" i="2" s="1"/>
  <c r="X59" i="20"/>
  <c r="X63" i="20" s="1"/>
  <c r="Z64" i="3"/>
  <c r="X7" i="20"/>
  <c r="AA18" i="1"/>
  <c r="AA19" i="1" s="1"/>
  <c r="AA20" i="1" s="1"/>
  <c r="Z19" i="1"/>
  <c r="X10" i="23"/>
  <c r="Y8" i="23"/>
  <c r="Y10" i="23" s="1"/>
  <c r="AI43" i="20"/>
  <c r="Z9" i="2"/>
  <c r="X25" i="3"/>
  <c r="X26" i="3" s="1"/>
  <c r="Y22" i="3"/>
  <c r="Y24" i="3" s="1"/>
  <c r="AM16" i="3"/>
  <c r="Z18" i="3"/>
  <c r="Z19" i="3" s="1"/>
  <c r="Y21" i="3"/>
  <c r="Y9" i="3"/>
  <c r="Z12" i="3"/>
  <c r="Z14" i="3" s="1"/>
  <c r="Z5" i="3"/>
  <c r="AD6" i="1"/>
  <c r="AC10" i="1"/>
  <c r="AC13" i="1" s="1"/>
  <c r="AC16" i="1" s="1"/>
  <c r="AN8" i="1"/>
  <c r="AR16" i="27" l="1"/>
  <c r="AR14" i="27"/>
  <c r="AR22" i="27"/>
  <c r="AR12" i="27"/>
  <c r="AR15" i="27" s="1"/>
  <c r="AR17" i="27"/>
  <c r="AR21" i="27"/>
  <c r="AR18" i="27"/>
  <c r="AR23" i="27"/>
  <c r="AR13" i="27"/>
  <c r="AR20" i="27"/>
  <c r="AQ17" i="27"/>
  <c r="AQ14" i="27"/>
  <c r="AQ16" i="27"/>
  <c r="AQ19" i="27" s="1"/>
  <c r="AQ13" i="27"/>
  <c r="AQ18" i="27"/>
  <c r="AQ23" i="27"/>
  <c r="AQ21" i="27"/>
  <c r="AQ12" i="27"/>
  <c r="AQ20" i="27"/>
  <c r="AQ22" i="27"/>
  <c r="AO17" i="27"/>
  <c r="AP17" i="27" s="1"/>
  <c r="AO20" i="27"/>
  <c r="AO21" i="27"/>
  <c r="AP21" i="27" s="1"/>
  <c r="AO12" i="27"/>
  <c r="AO16" i="27"/>
  <c r="AO23" i="27"/>
  <c r="AP23" i="27" s="1"/>
  <c r="AO13" i="27"/>
  <c r="AP13" i="27" s="1"/>
  <c r="AO14" i="27"/>
  <c r="AP14" i="27" s="1"/>
  <c r="AO22" i="27"/>
  <c r="AP22" i="27" s="1"/>
  <c r="AO18" i="27"/>
  <c r="AP18" i="27" s="1"/>
  <c r="AP11" i="27"/>
  <c r="AP26" i="27"/>
  <c r="AQ26" i="27"/>
  <c r="AR25" i="27"/>
  <c r="Z16" i="20"/>
  <c r="Z8" i="3"/>
  <c r="BO62" i="3"/>
  <c r="AQ47" i="3"/>
  <c r="AR44" i="3"/>
  <c r="AQ18" i="24"/>
  <c r="AQ19" i="24" s="1"/>
  <c r="AR9" i="2"/>
  <c r="AR64" i="3"/>
  <c r="AW5" i="1"/>
  <c r="AS6" i="3"/>
  <c r="AS9" i="27" s="1"/>
  <c r="AS11" i="27" s="1"/>
  <c r="AQ11" i="2"/>
  <c r="AQ28" i="2"/>
  <c r="AQ26" i="2"/>
  <c r="AU13" i="24"/>
  <c r="AT16" i="24"/>
  <c r="Y49" i="3"/>
  <c r="AM34" i="3"/>
  <c r="AL33" i="3"/>
  <c r="AM31" i="3"/>
  <c r="AL42" i="3"/>
  <c r="AM40" i="3"/>
  <c r="T43" i="3"/>
  <c r="U37" i="3"/>
  <c r="U38" i="3" s="1"/>
  <c r="T39" i="3"/>
  <c r="AN52" i="3"/>
  <c r="AM55" i="3"/>
  <c r="S60" i="3"/>
  <c r="Y45" i="3"/>
  <c r="Y53" i="3"/>
  <c r="AL29" i="3"/>
  <c r="AK30" i="3"/>
  <c r="AK48" i="3"/>
  <c r="AJ51" i="3"/>
  <c r="Y71" i="20"/>
  <c r="Y17" i="20" s="1"/>
  <c r="Y21" i="20" s="1"/>
  <c r="Z20" i="1"/>
  <c r="Y16" i="23" s="1"/>
  <c r="O66" i="3"/>
  <c r="P66" i="3" s="1"/>
  <c r="B9" i="26" s="1"/>
  <c r="Y20" i="2"/>
  <c r="V66" i="20"/>
  <c r="AI5" i="24"/>
  <c r="AI9" i="24" s="1"/>
  <c r="Y11" i="3"/>
  <c r="Y15" i="3" s="1"/>
  <c r="Y69" i="3"/>
  <c r="AG32" i="24"/>
  <c r="AI26" i="24"/>
  <c r="AI31" i="24" s="1"/>
  <c r="AH25" i="24"/>
  <c r="AI20" i="24"/>
  <c r="AJ10" i="24"/>
  <c r="AJ12" i="24" s="1"/>
  <c r="Y14" i="2"/>
  <c r="V28" i="20"/>
  <c r="V30" i="20" s="1"/>
  <c r="X24" i="2"/>
  <c r="Y21" i="2"/>
  <c r="X15" i="2"/>
  <c r="Y16" i="2"/>
  <c r="Y22" i="2"/>
  <c r="Y17" i="2"/>
  <c r="Y12" i="2"/>
  <c r="X19" i="2"/>
  <c r="M63" i="22"/>
  <c r="N63" i="22" s="1"/>
  <c r="O63" i="22" s="1"/>
  <c r="H38" i="22"/>
  <c r="I38" i="22" s="1"/>
  <c r="J38" i="22" s="1"/>
  <c r="L89" i="20"/>
  <c r="L45" i="20" s="1"/>
  <c r="L50" i="20" s="1"/>
  <c r="L35" i="20"/>
  <c r="E22" i="22"/>
  <c r="X22" i="22"/>
  <c r="S48" i="22"/>
  <c r="T48" i="22" s="1"/>
  <c r="R49" i="22" s="1"/>
  <c r="Z26" i="2"/>
  <c r="Z28" i="2"/>
  <c r="AC28" i="2" s="1"/>
  <c r="W29" i="2"/>
  <c r="X14" i="23" s="1"/>
  <c r="N75" i="20"/>
  <c r="N77" i="20" s="1"/>
  <c r="N13" i="23"/>
  <c r="Y13" i="2"/>
  <c r="Y18" i="2"/>
  <c r="Y23" i="2"/>
  <c r="Z11" i="2"/>
  <c r="Y7" i="20"/>
  <c r="AB18" i="1"/>
  <c r="AA64" i="3"/>
  <c r="Y59" i="20"/>
  <c r="Y63" i="20" s="1"/>
  <c r="Z8" i="23"/>
  <c r="Z10" i="23" s="1"/>
  <c r="AJ43" i="20"/>
  <c r="AA9" i="2"/>
  <c r="AA26" i="2" s="1"/>
  <c r="Y25" i="3"/>
  <c r="Y26" i="3" s="1"/>
  <c r="Z22" i="3"/>
  <c r="Z24" i="3" s="1"/>
  <c r="Z49" i="3" s="1"/>
  <c r="AN16" i="3"/>
  <c r="AA18" i="3"/>
  <c r="AA19" i="3" s="1"/>
  <c r="Z21" i="3"/>
  <c r="Z9" i="3"/>
  <c r="AA12" i="3"/>
  <c r="AA14" i="3" s="1"/>
  <c r="AA5" i="3"/>
  <c r="AA8" i="3" s="1"/>
  <c r="AE6" i="1"/>
  <c r="AF6" i="1" s="1"/>
  <c r="AD10" i="1"/>
  <c r="AD13" i="1" s="1"/>
  <c r="AD16" i="1" s="1"/>
  <c r="AO8" i="1"/>
  <c r="AO24" i="27" l="1"/>
  <c r="AP24" i="27" s="1"/>
  <c r="AP20" i="27"/>
  <c r="AQ24" i="27"/>
  <c r="AS21" i="27"/>
  <c r="AS13" i="27"/>
  <c r="AS14" i="27"/>
  <c r="AS17" i="27"/>
  <c r="AS12" i="27"/>
  <c r="AS15" i="27" s="1"/>
  <c r="AS18" i="27"/>
  <c r="AS20" i="27"/>
  <c r="AS16" i="27"/>
  <c r="AS23" i="27"/>
  <c r="AS22" i="27"/>
  <c r="AO19" i="27"/>
  <c r="AP19" i="27" s="1"/>
  <c r="AP16" i="27"/>
  <c r="AQ15" i="27"/>
  <c r="AR24" i="27"/>
  <c r="AO15" i="27"/>
  <c r="AP12" i="27"/>
  <c r="AR19" i="27"/>
  <c r="AQ29" i="27"/>
  <c r="AS25" i="27"/>
  <c r="AR26" i="27"/>
  <c r="AR29" i="27" s="1"/>
  <c r="AV13" i="24"/>
  <c r="AU16" i="24"/>
  <c r="AS69" i="3"/>
  <c r="AR18" i="24"/>
  <c r="AR19" i="24" s="1"/>
  <c r="AS9" i="2"/>
  <c r="AS64" i="3"/>
  <c r="AX5" i="1"/>
  <c r="AT6" i="3"/>
  <c r="AT9" i="27" s="1"/>
  <c r="B21" i="26"/>
  <c r="B22" i="26" s="1"/>
  <c r="B25" i="26" s="1"/>
  <c r="B26" i="26" s="1"/>
  <c r="B11" i="26"/>
  <c r="B12" i="26" s="1"/>
  <c r="AS44" i="3"/>
  <c r="AR47" i="3"/>
  <c r="AQ20" i="2"/>
  <c r="AQ17" i="2"/>
  <c r="AQ18" i="2"/>
  <c r="AQ16" i="2"/>
  <c r="AQ23" i="2"/>
  <c r="AQ22" i="2"/>
  <c r="AQ21" i="2"/>
  <c r="AQ12" i="2"/>
  <c r="AQ13" i="2"/>
  <c r="AQ14" i="2"/>
  <c r="AR11" i="2"/>
  <c r="AR26" i="2"/>
  <c r="W73" i="20"/>
  <c r="X73" i="20" s="1"/>
  <c r="AL30" i="3"/>
  <c r="AM29" i="3"/>
  <c r="V37" i="3"/>
  <c r="V38" i="3" s="1"/>
  <c r="U43" i="3"/>
  <c r="U39" i="3"/>
  <c r="AN34" i="3"/>
  <c r="Z53" i="3"/>
  <c r="AM33" i="3"/>
  <c r="AN31" i="3"/>
  <c r="Z45" i="3"/>
  <c r="AN55" i="3"/>
  <c r="AO52" i="3"/>
  <c r="AL48" i="3"/>
  <c r="AK51" i="3"/>
  <c r="T60" i="3"/>
  <c r="AN40" i="3"/>
  <c r="AM42" i="3"/>
  <c r="AA16" i="20"/>
  <c r="O68" i="20"/>
  <c r="O75" i="20" s="1"/>
  <c r="O13" i="23"/>
  <c r="W66" i="20"/>
  <c r="Z71" i="20"/>
  <c r="Z14" i="2"/>
  <c r="AJ5" i="24"/>
  <c r="AJ9" i="24" s="1"/>
  <c r="Z12" i="2"/>
  <c r="R66" i="3"/>
  <c r="R13" i="23" s="1"/>
  <c r="R17" i="23" s="1"/>
  <c r="R19" i="23" s="1"/>
  <c r="Z11" i="3"/>
  <c r="Z15" i="3" s="1"/>
  <c r="Z69" i="3"/>
  <c r="Q66" i="3"/>
  <c r="Q68" i="20" s="1"/>
  <c r="AH32" i="24"/>
  <c r="AJ26" i="24"/>
  <c r="AJ31" i="24" s="1"/>
  <c r="AJ20" i="24"/>
  <c r="AI25" i="24"/>
  <c r="AK10" i="24"/>
  <c r="AK12" i="24" s="1"/>
  <c r="Y24" i="2"/>
  <c r="X29" i="2"/>
  <c r="Y14" i="23" s="1"/>
  <c r="Y19" i="2"/>
  <c r="Z22" i="2"/>
  <c r="W28" i="20"/>
  <c r="W30" i="20" s="1"/>
  <c r="Y15" i="2"/>
  <c r="M64" i="22"/>
  <c r="N64" i="22" s="1"/>
  <c r="O64" i="22" s="1"/>
  <c r="H39" i="22"/>
  <c r="I39" i="22" s="1"/>
  <c r="J39" i="22" s="1"/>
  <c r="Y22" i="22"/>
  <c r="L33" i="20" s="1"/>
  <c r="L38" i="20" s="1"/>
  <c r="L40" i="20" s="1"/>
  <c r="L52" i="20" s="1"/>
  <c r="L54" i="20" s="1"/>
  <c r="C23" i="22"/>
  <c r="S49" i="22"/>
  <c r="T49" i="22" s="1"/>
  <c r="R50" i="22" s="1"/>
  <c r="Z17" i="2"/>
  <c r="Z20" i="2"/>
  <c r="N17" i="23"/>
  <c r="Z23" i="2"/>
  <c r="AA11" i="2"/>
  <c r="Z16" i="2"/>
  <c r="Z21" i="2"/>
  <c r="Z13" i="2"/>
  <c r="Z18" i="2"/>
  <c r="AE8" i="2"/>
  <c r="AB64" i="3"/>
  <c r="AC64" i="3" s="1"/>
  <c r="AB19" i="1"/>
  <c r="Z7" i="20"/>
  <c r="AC18" i="1"/>
  <c r="AC19" i="1" s="1"/>
  <c r="AC20" i="1" s="1"/>
  <c r="Z59" i="20"/>
  <c r="AA8" i="23"/>
  <c r="AA10" i="23" s="1"/>
  <c r="AK43" i="20"/>
  <c r="AB9" i="2"/>
  <c r="Z25" i="3"/>
  <c r="Z26" i="3" s="1"/>
  <c r="AA22" i="3"/>
  <c r="AA24" i="3" s="1"/>
  <c r="AO16" i="3"/>
  <c r="AB18" i="3"/>
  <c r="AA21" i="3"/>
  <c r="AA9" i="3"/>
  <c r="AB12" i="3"/>
  <c r="AC12" i="3" s="1"/>
  <c r="AB5" i="3"/>
  <c r="AG6" i="1"/>
  <c r="AE10" i="1"/>
  <c r="AP8" i="1"/>
  <c r="AT11" i="27" l="1"/>
  <c r="AT28" i="27"/>
  <c r="AS19" i="27"/>
  <c r="AS24" i="27"/>
  <c r="AP15" i="27"/>
  <c r="AO29" i="27"/>
  <c r="AP29" i="27" s="1"/>
  <c r="AS26" i="27"/>
  <c r="AS29" i="27" s="1"/>
  <c r="AT25" i="27"/>
  <c r="AB19" i="3"/>
  <c r="AC19" i="3" s="1"/>
  <c r="AC18" i="3"/>
  <c r="AQ16" i="3"/>
  <c r="AP16" i="3"/>
  <c r="AO55" i="3"/>
  <c r="AP55" i="3" s="1"/>
  <c r="AQ52" i="3"/>
  <c r="AP52" i="3"/>
  <c r="AT44" i="3"/>
  <c r="AS47" i="3"/>
  <c r="AY5" i="1"/>
  <c r="AU6" i="3"/>
  <c r="AU9" i="27" s="1"/>
  <c r="AU11" i="27" s="1"/>
  <c r="AR21" i="2"/>
  <c r="AR14" i="2"/>
  <c r="AR23" i="2"/>
  <c r="AR20" i="2"/>
  <c r="AR18" i="2"/>
  <c r="AR17" i="2"/>
  <c r="AR16" i="2"/>
  <c r="AR22" i="2"/>
  <c r="AR13" i="2"/>
  <c r="AR12" i="2"/>
  <c r="AQ24" i="2"/>
  <c r="AS11" i="2"/>
  <c r="AS26" i="2"/>
  <c r="AV16" i="24"/>
  <c r="AW13" i="24"/>
  <c r="AB8" i="3"/>
  <c r="AC5" i="3"/>
  <c r="AQ15" i="2"/>
  <c r="AQ19" i="2"/>
  <c r="AT69" i="3"/>
  <c r="AS18" i="24"/>
  <c r="AS19" i="24" s="1"/>
  <c r="AT9" i="2"/>
  <c r="AT64" i="3"/>
  <c r="R23" i="23"/>
  <c r="C43" i="23"/>
  <c r="AA45" i="3"/>
  <c r="AO34" i="3"/>
  <c r="AM48" i="3"/>
  <c r="AL51" i="3"/>
  <c r="U60" i="3"/>
  <c r="W37" i="3"/>
  <c r="W38" i="3" s="1"/>
  <c r="V43" i="3"/>
  <c r="V39" i="3"/>
  <c r="AO40" i="3"/>
  <c r="AN42" i="3"/>
  <c r="AO31" i="3"/>
  <c r="AN33" i="3"/>
  <c r="AN29" i="3"/>
  <c r="AM30" i="3"/>
  <c r="AA53" i="3"/>
  <c r="AA49" i="3"/>
  <c r="AA71" i="20"/>
  <c r="AA17" i="20" s="1"/>
  <c r="AA21" i="20" s="1"/>
  <c r="AB16" i="20"/>
  <c r="AC16" i="20" s="1"/>
  <c r="AB20" i="1"/>
  <c r="AA16" i="23" s="1"/>
  <c r="AE13" i="1"/>
  <c r="AF10" i="1"/>
  <c r="C3" i="26" s="1"/>
  <c r="C6" i="26" s="1"/>
  <c r="C16" i="26" s="1"/>
  <c r="AB26" i="2"/>
  <c r="AC26" i="2" s="1"/>
  <c r="AC9" i="2"/>
  <c r="O17" i="23"/>
  <c r="O19" i="23" s="1"/>
  <c r="P13" i="23"/>
  <c r="P17" i="23" s="1"/>
  <c r="P19" i="23" s="1"/>
  <c r="P68" i="20"/>
  <c r="AA12" i="2"/>
  <c r="Z15" i="2"/>
  <c r="Q13" i="23"/>
  <c r="S66" i="3"/>
  <c r="X66" i="20"/>
  <c r="Z17" i="20"/>
  <c r="Z21" i="20" s="1"/>
  <c r="AK5" i="24"/>
  <c r="AK9" i="24" s="1"/>
  <c r="AA11" i="3"/>
  <c r="AA15" i="3" s="1"/>
  <c r="AA69" i="3"/>
  <c r="AD12" i="3"/>
  <c r="AD14" i="3" s="1"/>
  <c r="AB14" i="3"/>
  <c r="AC14" i="3" s="1"/>
  <c r="AI32" i="24"/>
  <c r="AK26" i="24"/>
  <c r="AK31" i="24" s="1"/>
  <c r="AK20" i="24"/>
  <c r="AJ25" i="24"/>
  <c r="AL10" i="24"/>
  <c r="AL12" i="24" s="1"/>
  <c r="Y29" i="2"/>
  <c r="Z14" i="23" s="1"/>
  <c r="X28" i="20"/>
  <c r="X30" i="20" s="1"/>
  <c r="AA14" i="2"/>
  <c r="AA20" i="2"/>
  <c r="Z24" i="2"/>
  <c r="AA22" i="2"/>
  <c r="AA17" i="2"/>
  <c r="AA23" i="2"/>
  <c r="AA13" i="2"/>
  <c r="AA18" i="2"/>
  <c r="Z19" i="2"/>
  <c r="M65" i="22"/>
  <c r="N65" i="22" s="1"/>
  <c r="O65" i="22" s="1"/>
  <c r="M66" i="22" s="1"/>
  <c r="N66" i="22" s="1"/>
  <c r="O66" i="22" s="1"/>
  <c r="H40" i="22"/>
  <c r="I40" i="22" s="1"/>
  <c r="J40" i="22" s="1"/>
  <c r="D23" i="22"/>
  <c r="W23" i="22"/>
  <c r="M81" i="20" s="1"/>
  <c r="M83" i="20" s="1"/>
  <c r="M85" i="20" s="1"/>
  <c r="S50" i="22"/>
  <c r="T50" i="22" s="1"/>
  <c r="R51" i="22" s="1"/>
  <c r="Q75" i="20"/>
  <c r="Q77" i="20" s="1"/>
  <c r="R68" i="20"/>
  <c r="P75" i="20"/>
  <c r="O77" i="20"/>
  <c r="N19" i="23"/>
  <c r="AA16" i="2"/>
  <c r="AA21" i="2"/>
  <c r="AB11" i="2"/>
  <c r="AF8" i="2"/>
  <c r="AD64" i="3"/>
  <c r="AA7" i="20"/>
  <c r="AD18" i="1"/>
  <c r="AA59" i="20"/>
  <c r="Z63" i="20"/>
  <c r="AG14" i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B8" i="23"/>
  <c r="AC8" i="23" s="1"/>
  <c r="AC10" i="23" s="1"/>
  <c r="AL43" i="20"/>
  <c r="AD9" i="2"/>
  <c r="AA25" i="3"/>
  <c r="AA26" i="3" s="1"/>
  <c r="AD18" i="3"/>
  <c r="AD19" i="3" s="1"/>
  <c r="AB21" i="3"/>
  <c r="AC21" i="3" s="1"/>
  <c r="AB9" i="3"/>
  <c r="AC9" i="3" s="1"/>
  <c r="AD5" i="3"/>
  <c r="AH6" i="1"/>
  <c r="AG10" i="1"/>
  <c r="AQ8" i="1"/>
  <c r="AT20" i="27" l="1"/>
  <c r="AT18" i="27"/>
  <c r="AT22" i="27"/>
  <c r="AT14" i="27"/>
  <c r="AT12" i="27"/>
  <c r="AT17" i="27"/>
  <c r="AT13" i="27"/>
  <c r="AT23" i="27"/>
  <c r="AT16" i="27"/>
  <c r="AT21" i="27"/>
  <c r="AU23" i="27"/>
  <c r="AU20" i="27"/>
  <c r="AU12" i="27"/>
  <c r="AU15" i="27" s="1"/>
  <c r="AU18" i="27"/>
  <c r="AU17" i="27"/>
  <c r="AU21" i="27"/>
  <c r="AU13" i="27"/>
  <c r="AU16" i="27"/>
  <c r="AU19" i="27" s="1"/>
  <c r="AU22" i="27"/>
  <c r="AU14" i="27"/>
  <c r="AT26" i="27"/>
  <c r="AU25" i="27"/>
  <c r="AR24" i="2"/>
  <c r="AR19" i="2"/>
  <c r="AS14" i="1"/>
  <c r="D14" i="26" s="1"/>
  <c r="AT14" i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AO42" i="3"/>
  <c r="AP42" i="3" s="1"/>
  <c r="AQ40" i="3"/>
  <c r="AP40" i="3"/>
  <c r="AT11" i="2"/>
  <c r="AT28" i="2"/>
  <c r="AT26" i="2"/>
  <c r="AQ29" i="2"/>
  <c r="AX13" i="24"/>
  <c r="AW16" i="24"/>
  <c r="AT47" i="3"/>
  <c r="AU44" i="3"/>
  <c r="AO33" i="3"/>
  <c r="AP33" i="3" s="1"/>
  <c r="AQ31" i="3"/>
  <c r="AP31" i="3"/>
  <c r="AZ5" i="1"/>
  <c r="AV6" i="3"/>
  <c r="AV9" i="27" s="1"/>
  <c r="AV11" i="27" s="1"/>
  <c r="AQ55" i="3"/>
  <c r="AR52" i="3"/>
  <c r="AU69" i="3"/>
  <c r="AT18" i="24"/>
  <c r="AT19" i="24" s="1"/>
  <c r="AU9" i="2"/>
  <c r="AU64" i="3"/>
  <c r="AR16" i="3"/>
  <c r="AQ34" i="3"/>
  <c r="AP34" i="3"/>
  <c r="AS22" i="2"/>
  <c r="AS17" i="2"/>
  <c r="AS12" i="2"/>
  <c r="AS20" i="2"/>
  <c r="AS13" i="2"/>
  <c r="AS16" i="2"/>
  <c r="AS23" i="2"/>
  <c r="AS21" i="2"/>
  <c r="AS14" i="2"/>
  <c r="AS18" i="2"/>
  <c r="AR15" i="2"/>
  <c r="N23" i="23"/>
  <c r="C40" i="23"/>
  <c r="O23" i="23"/>
  <c r="C41" i="23"/>
  <c r="Y73" i="20"/>
  <c r="Z73" i="20" s="1"/>
  <c r="V60" i="3"/>
  <c r="AO29" i="3"/>
  <c r="AN30" i="3"/>
  <c r="AN48" i="3"/>
  <c r="AM51" i="3"/>
  <c r="X37" i="3"/>
  <c r="X38" i="3" s="1"/>
  <c r="W43" i="3"/>
  <c r="W39" i="3"/>
  <c r="AE16" i="1"/>
  <c r="AD8" i="23" s="1"/>
  <c r="AF13" i="1"/>
  <c r="AD8" i="3"/>
  <c r="AD71" i="20" s="1"/>
  <c r="AD16" i="20"/>
  <c r="AB22" i="3"/>
  <c r="AG13" i="1"/>
  <c r="AD22" i="3" s="1"/>
  <c r="AD24" i="3" s="1"/>
  <c r="AD53" i="3" s="1"/>
  <c r="Q17" i="23"/>
  <c r="Q19" i="23" s="1"/>
  <c r="Y66" i="20"/>
  <c r="AB12" i="2"/>
  <c r="AC12" i="2" s="1"/>
  <c r="AB71" i="20"/>
  <c r="AB17" i="20" s="1"/>
  <c r="AL5" i="24"/>
  <c r="AL9" i="24" s="1"/>
  <c r="AB11" i="3"/>
  <c r="AB15" i="3" s="1"/>
  <c r="AB69" i="3"/>
  <c r="AC69" i="3" s="1"/>
  <c r="T66" i="3"/>
  <c r="T13" i="23" s="1"/>
  <c r="AJ32" i="24"/>
  <c r="AL26" i="24"/>
  <c r="AL31" i="24" s="1"/>
  <c r="S13" i="23"/>
  <c r="S17" i="23" s="1"/>
  <c r="S19" i="23" s="1"/>
  <c r="AK25" i="24"/>
  <c r="AL20" i="24"/>
  <c r="AM10" i="24"/>
  <c r="AM12" i="24" s="1"/>
  <c r="AA15" i="2"/>
  <c r="Y28" i="20"/>
  <c r="Y30" i="20" s="1"/>
  <c r="AB17" i="2"/>
  <c r="AC17" i="2" s="1"/>
  <c r="Z29" i="2"/>
  <c r="AA14" i="23" s="1"/>
  <c r="AA19" i="2"/>
  <c r="AB22" i="2"/>
  <c r="AC22" i="2" s="1"/>
  <c r="AA24" i="2"/>
  <c r="M67" i="22"/>
  <c r="N67" i="22" s="1"/>
  <c r="O67" i="22" s="1"/>
  <c r="H41" i="22"/>
  <c r="I41" i="22" s="1"/>
  <c r="J41" i="22" s="1"/>
  <c r="M87" i="20"/>
  <c r="M35" i="20" s="1"/>
  <c r="X23" i="22"/>
  <c r="E23" i="22"/>
  <c r="S51" i="22"/>
  <c r="T51" i="22" s="1"/>
  <c r="R52" i="22" s="1"/>
  <c r="AD26" i="2"/>
  <c r="AD28" i="2"/>
  <c r="N5" i="20"/>
  <c r="R75" i="20"/>
  <c r="R77" i="20" s="1"/>
  <c r="S68" i="20"/>
  <c r="P77" i="20"/>
  <c r="AB13" i="2"/>
  <c r="AC13" i="2" s="1"/>
  <c r="AB18" i="2"/>
  <c r="AC18" i="2" s="1"/>
  <c r="AB23" i="2"/>
  <c r="AC23" i="2" s="1"/>
  <c r="AB14" i="2"/>
  <c r="AC14" i="2" s="1"/>
  <c r="AB20" i="2"/>
  <c r="AC20" i="2" s="1"/>
  <c r="AC11" i="2"/>
  <c r="AB16" i="2"/>
  <c r="AC16" i="2" s="1"/>
  <c r="AB21" i="2"/>
  <c r="AC21" i="2" s="1"/>
  <c r="AD11" i="2"/>
  <c r="AG8" i="2"/>
  <c r="AE64" i="3"/>
  <c r="AD19" i="1"/>
  <c r="AD20" i="1" s="1"/>
  <c r="AA63" i="20"/>
  <c r="AB7" i="20"/>
  <c r="AC7" i="20" s="1"/>
  <c r="AB10" i="23"/>
  <c r="AD9" i="3"/>
  <c r="AM43" i="20"/>
  <c r="AC8" i="3"/>
  <c r="AE9" i="2"/>
  <c r="AE18" i="3"/>
  <c r="AE19" i="3" s="1"/>
  <c r="AD21" i="3"/>
  <c r="AE12" i="3"/>
  <c r="AE14" i="3" s="1"/>
  <c r="AE5" i="3"/>
  <c r="AI6" i="1"/>
  <c r="AH10" i="1"/>
  <c r="AH13" i="1" s="1"/>
  <c r="AH16" i="1" s="1"/>
  <c r="AH18" i="1" s="1"/>
  <c r="AH19" i="1" s="1"/>
  <c r="AR8" i="1"/>
  <c r="AU24" i="27" l="1"/>
  <c r="AT19" i="27"/>
  <c r="AT15" i="27"/>
  <c r="AT24" i="27"/>
  <c r="E7" i="25"/>
  <c r="C6" i="28"/>
  <c r="AR29" i="2"/>
  <c r="AR28" i="20" s="1"/>
  <c r="AR30" i="20" s="1"/>
  <c r="AV23" i="27"/>
  <c r="AV21" i="27"/>
  <c r="AV13" i="27"/>
  <c r="AV18" i="27"/>
  <c r="AV14" i="27"/>
  <c r="AV17" i="27"/>
  <c r="AV20" i="27"/>
  <c r="AV24" i="27" s="1"/>
  <c r="AV22" i="27"/>
  <c r="AV16" i="27"/>
  <c r="AV19" i="27" s="1"/>
  <c r="AV12" i="27"/>
  <c r="AU26" i="27"/>
  <c r="AV25" i="27"/>
  <c r="AT29" i="27"/>
  <c r="AS19" i="2"/>
  <c r="AS8" i="1"/>
  <c r="AT8" i="1"/>
  <c r="AS15" i="2"/>
  <c r="AR34" i="3"/>
  <c r="AU11" i="2"/>
  <c r="AU26" i="2"/>
  <c r="AR31" i="3"/>
  <c r="AQ33" i="3"/>
  <c r="AQ42" i="3"/>
  <c r="AR40" i="3"/>
  <c r="AX16" i="24"/>
  <c r="AY13" i="24"/>
  <c r="AS16" i="3"/>
  <c r="BA5" i="1"/>
  <c r="AW6" i="3"/>
  <c r="AW9" i="27" s="1"/>
  <c r="AU47" i="3"/>
  <c r="AV44" i="3"/>
  <c r="AQ28" i="20"/>
  <c r="AQ30" i="20" s="1"/>
  <c r="AT21" i="2"/>
  <c r="AT14" i="2"/>
  <c r="AT13" i="2"/>
  <c r="AT20" i="2"/>
  <c r="AT17" i="2"/>
  <c r="AT12" i="2"/>
  <c r="AT23" i="2"/>
  <c r="AT16" i="2"/>
  <c r="AT18" i="2"/>
  <c r="AT22" i="2"/>
  <c r="BF14" i="1"/>
  <c r="E14" i="26" s="1"/>
  <c r="BG14" i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F14" i="26" s="1"/>
  <c r="AV69" i="3"/>
  <c r="AU18" i="24"/>
  <c r="AU19" i="24" s="1"/>
  <c r="AV9" i="2"/>
  <c r="AV64" i="3"/>
  <c r="AO30" i="3"/>
  <c r="AP30" i="3" s="1"/>
  <c r="AQ29" i="3"/>
  <c r="AP29" i="3"/>
  <c r="P23" i="23"/>
  <c r="AS24" i="2"/>
  <c r="AR55" i="3"/>
  <c r="AS52" i="3"/>
  <c r="D20" i="26"/>
  <c r="E22" i="25"/>
  <c r="E10" i="25"/>
  <c r="C10" i="28" s="1"/>
  <c r="AB21" i="20"/>
  <c r="S23" i="23"/>
  <c r="C44" i="23"/>
  <c r="Q23" i="23"/>
  <c r="C42" i="23"/>
  <c r="AB24" i="3"/>
  <c r="AC24" i="3" s="1"/>
  <c r="AC22" i="3"/>
  <c r="Y37" i="3"/>
  <c r="Y38" i="3" s="1"/>
  <c r="X43" i="3"/>
  <c r="X39" i="3"/>
  <c r="AO48" i="3"/>
  <c r="AN51" i="3"/>
  <c r="AB45" i="3"/>
  <c r="W60" i="3"/>
  <c r="AB49" i="3"/>
  <c r="AC71" i="20"/>
  <c r="AE8" i="3"/>
  <c r="AE71" i="20" s="1"/>
  <c r="AE16" i="20"/>
  <c r="AG16" i="1"/>
  <c r="AF16" i="1"/>
  <c r="AE18" i="1"/>
  <c r="AB59" i="20"/>
  <c r="AC59" i="20" s="1"/>
  <c r="Z66" i="20"/>
  <c r="AD17" i="2"/>
  <c r="AM5" i="24"/>
  <c r="AM9" i="24" s="1"/>
  <c r="AD11" i="3"/>
  <c r="AD15" i="3" s="1"/>
  <c r="AD69" i="3"/>
  <c r="U66" i="3"/>
  <c r="AK32" i="24"/>
  <c r="AM26" i="24"/>
  <c r="AM31" i="24" s="1"/>
  <c r="AL25" i="24"/>
  <c r="AM20" i="24"/>
  <c r="AN10" i="24"/>
  <c r="AB15" i="2"/>
  <c r="AC15" i="2" s="1"/>
  <c r="AD20" i="2"/>
  <c r="Z28" i="20"/>
  <c r="Z30" i="20" s="1"/>
  <c r="AA29" i="2"/>
  <c r="AB14" i="23" s="1"/>
  <c r="AC14" i="23" s="1"/>
  <c r="M68" i="22"/>
  <c r="N68" i="22" s="1"/>
  <c r="O68" i="22" s="1"/>
  <c r="H42" i="22"/>
  <c r="I42" i="22" s="1"/>
  <c r="J42" i="22" s="1"/>
  <c r="Y23" i="22"/>
  <c r="M33" i="20" s="1"/>
  <c r="M38" i="20" s="1"/>
  <c r="M40" i="20" s="1"/>
  <c r="C24" i="22"/>
  <c r="M89" i="20"/>
  <c r="M45" i="20" s="1"/>
  <c r="M50" i="20" s="1"/>
  <c r="S52" i="22"/>
  <c r="T52" i="22" s="1"/>
  <c r="R53" i="22" s="1"/>
  <c r="AB19" i="2"/>
  <c r="AC19" i="2" s="1"/>
  <c r="AB24" i="2"/>
  <c r="AC24" i="2" s="1"/>
  <c r="N10" i="20"/>
  <c r="N23" i="20" s="1"/>
  <c r="O5" i="20"/>
  <c r="S75" i="20"/>
  <c r="S77" i="20" s="1"/>
  <c r="T68" i="20"/>
  <c r="AE11" i="2"/>
  <c r="AE26" i="2"/>
  <c r="AD23" i="2"/>
  <c r="AD12" i="2"/>
  <c r="AD22" i="2"/>
  <c r="AD14" i="2"/>
  <c r="AD16" i="2"/>
  <c r="AD21" i="2"/>
  <c r="AD13" i="2"/>
  <c r="AD18" i="2"/>
  <c r="AH8" i="2"/>
  <c r="AF64" i="3"/>
  <c r="AA73" i="20"/>
  <c r="AD17" i="20"/>
  <c r="AD21" i="20" s="1"/>
  <c r="AD10" i="23"/>
  <c r="AN43" i="20"/>
  <c r="AC15" i="3"/>
  <c r="AD25" i="3"/>
  <c r="AD26" i="3" s="1"/>
  <c r="AC11" i="3"/>
  <c r="AF9" i="2"/>
  <c r="AE22" i="3"/>
  <c r="AE24" i="3" s="1"/>
  <c r="AE53" i="3" s="1"/>
  <c r="AF18" i="3"/>
  <c r="AF19" i="3" s="1"/>
  <c r="AE21" i="3"/>
  <c r="AE9" i="3"/>
  <c r="AF12" i="3"/>
  <c r="AF14" i="3" s="1"/>
  <c r="AF5" i="3"/>
  <c r="AF16" i="20" s="1"/>
  <c r="AJ6" i="1"/>
  <c r="AI10" i="1"/>
  <c r="AI13" i="1" s="1"/>
  <c r="AI16" i="1" s="1"/>
  <c r="AI18" i="1" s="1"/>
  <c r="AI19" i="1" s="1"/>
  <c r="AU29" i="27" l="1"/>
  <c r="AW11" i="27"/>
  <c r="AW28" i="27"/>
  <c r="AV15" i="27"/>
  <c r="AV26" i="27"/>
  <c r="AW25" i="27"/>
  <c r="AT19" i="2"/>
  <c r="AB25" i="3"/>
  <c r="AC25" i="3" s="1"/>
  <c r="AT24" i="2"/>
  <c r="AW44" i="3"/>
  <c r="AV47" i="3"/>
  <c r="AT16" i="3"/>
  <c r="AS40" i="3"/>
  <c r="AR42" i="3"/>
  <c r="AS29" i="2"/>
  <c r="AO51" i="3"/>
  <c r="AP51" i="3" s="1"/>
  <c r="AQ48" i="3"/>
  <c r="AP48" i="3"/>
  <c r="AS55" i="3"/>
  <c r="AT52" i="3"/>
  <c r="AV11" i="2"/>
  <c r="AV26" i="2"/>
  <c r="E20" i="26"/>
  <c r="AT15" i="2"/>
  <c r="AW69" i="3"/>
  <c r="AW9" i="2"/>
  <c r="AV18" i="24"/>
  <c r="AV19" i="24" s="1"/>
  <c r="AW64" i="3"/>
  <c r="AZ13" i="24"/>
  <c r="AY16" i="24"/>
  <c r="AU8" i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G8" i="1" s="1"/>
  <c r="F20" i="26"/>
  <c r="AU18" i="2"/>
  <c r="AU17" i="2"/>
  <c r="AU22" i="2"/>
  <c r="AU12" i="2"/>
  <c r="AU23" i="2"/>
  <c r="AU16" i="2"/>
  <c r="AU14" i="2"/>
  <c r="AU13" i="2"/>
  <c r="AU20" i="2"/>
  <c r="AU21" i="2"/>
  <c r="AN12" i="24"/>
  <c r="AP10" i="24"/>
  <c r="AO10" i="24"/>
  <c r="C10" i="26"/>
  <c r="F8" i="25"/>
  <c r="AR29" i="3"/>
  <c r="AQ30" i="3"/>
  <c r="BB5" i="1"/>
  <c r="AX6" i="3"/>
  <c r="AX9" i="27" s="1"/>
  <c r="AX11" i="27" s="1"/>
  <c r="AS31" i="3"/>
  <c r="AR33" i="3"/>
  <c r="AS34" i="3"/>
  <c r="AD49" i="3"/>
  <c r="AE49" i="3" s="1"/>
  <c r="AC49" i="3"/>
  <c r="AB53" i="3"/>
  <c r="AC53" i="3" s="1"/>
  <c r="AD45" i="3"/>
  <c r="AE45" i="3" s="1"/>
  <c r="AC45" i="3"/>
  <c r="X60" i="3"/>
  <c r="Z37" i="3"/>
  <c r="Z38" i="3" s="1"/>
  <c r="Y43" i="3"/>
  <c r="Y39" i="3"/>
  <c r="AG18" i="1"/>
  <c r="AD59" i="20"/>
  <c r="AE59" i="20" s="1"/>
  <c r="AE63" i="20" s="1"/>
  <c r="AE8" i="23"/>
  <c r="AE10" i="23" s="1"/>
  <c r="AD7" i="20"/>
  <c r="AE19" i="1"/>
  <c r="AF18" i="1"/>
  <c r="AB63" i="20"/>
  <c r="AC63" i="20" s="1"/>
  <c r="AA66" i="20"/>
  <c r="AE20" i="2"/>
  <c r="AL32" i="24"/>
  <c r="AN5" i="24"/>
  <c r="AE11" i="3"/>
  <c r="AE15" i="3" s="1"/>
  <c r="AE69" i="3"/>
  <c r="AP69" i="3" s="1"/>
  <c r="V66" i="3"/>
  <c r="V13" i="23" s="1"/>
  <c r="V17" i="23" s="1"/>
  <c r="V19" i="23" s="1"/>
  <c r="AN26" i="24"/>
  <c r="U13" i="23"/>
  <c r="AN20" i="24"/>
  <c r="AM25" i="24"/>
  <c r="AO12" i="24"/>
  <c r="AE17" i="2"/>
  <c r="AE23" i="2"/>
  <c r="AA28" i="20"/>
  <c r="AA30" i="20" s="1"/>
  <c r="AE12" i="2"/>
  <c r="AE18" i="2"/>
  <c r="AD24" i="2"/>
  <c r="AD15" i="2"/>
  <c r="AE13" i="2"/>
  <c r="AE21" i="2"/>
  <c r="AE16" i="2"/>
  <c r="AE22" i="2"/>
  <c r="H43" i="22"/>
  <c r="I43" i="22" s="1"/>
  <c r="J43" i="22" s="1"/>
  <c r="M52" i="20"/>
  <c r="M54" i="20" s="1"/>
  <c r="D24" i="22"/>
  <c r="W24" i="22"/>
  <c r="N81" i="20" s="1"/>
  <c r="N83" i="20" s="1"/>
  <c r="N85" i="20" s="1"/>
  <c r="S53" i="22"/>
  <c r="T53" i="22" s="1"/>
  <c r="R54" i="22" s="1"/>
  <c r="AB29" i="2"/>
  <c r="AD14" i="23" s="1"/>
  <c r="AD19" i="2"/>
  <c r="T75" i="20"/>
  <c r="T77" i="20" s="1"/>
  <c r="U68" i="20"/>
  <c r="P5" i="20"/>
  <c r="O10" i="20"/>
  <c r="Q5" i="20"/>
  <c r="AE14" i="2"/>
  <c r="AF11" i="2"/>
  <c r="AF26" i="2"/>
  <c r="AI8" i="2"/>
  <c r="AF8" i="3"/>
  <c r="AF71" i="20" s="1"/>
  <c r="AE7" i="20"/>
  <c r="AH20" i="1"/>
  <c r="AG64" i="3"/>
  <c r="AE17" i="20"/>
  <c r="AF8" i="23"/>
  <c r="AO43" i="20"/>
  <c r="AG9" i="2"/>
  <c r="AE25" i="3"/>
  <c r="AE26" i="3" s="1"/>
  <c r="AF22" i="3"/>
  <c r="AF24" i="3" s="1"/>
  <c r="AF53" i="3" s="1"/>
  <c r="AG18" i="3"/>
  <c r="AG19" i="3" s="1"/>
  <c r="AF21" i="3"/>
  <c r="AF9" i="3"/>
  <c r="AF11" i="3" s="1"/>
  <c r="AG12" i="3"/>
  <c r="AG14" i="3" s="1"/>
  <c r="AG5" i="3"/>
  <c r="AG16" i="20" s="1"/>
  <c r="AK6" i="1"/>
  <c r="AJ10" i="1"/>
  <c r="AW14" i="27" l="1"/>
  <c r="AW13" i="27"/>
  <c r="AW18" i="27"/>
  <c r="AW21" i="27"/>
  <c r="AW20" i="27"/>
  <c r="AW12" i="27"/>
  <c r="AW17" i="27"/>
  <c r="AW23" i="27"/>
  <c r="AW16" i="27"/>
  <c r="AW22" i="27"/>
  <c r="E16" i="25"/>
  <c r="E20" i="25" s="1"/>
  <c r="E24" i="25" s="1"/>
  <c r="D11" i="28"/>
  <c r="AB26" i="3"/>
  <c r="AC26" i="3" s="1"/>
  <c r="AX21" i="27"/>
  <c r="AX22" i="27"/>
  <c r="AX16" i="27"/>
  <c r="AX14" i="27"/>
  <c r="AX17" i="27"/>
  <c r="AX23" i="27"/>
  <c r="AX12" i="27"/>
  <c r="AX20" i="27"/>
  <c r="AX13" i="27"/>
  <c r="AX18" i="27"/>
  <c r="AU19" i="2"/>
  <c r="AW26" i="27"/>
  <c r="AX25" i="27"/>
  <c r="AV29" i="27"/>
  <c r="BC5" i="1"/>
  <c r="AY6" i="3"/>
  <c r="AY9" i="27" s="1"/>
  <c r="AY11" i="27" s="1"/>
  <c r="AP12" i="24"/>
  <c r="AQ10" i="24"/>
  <c r="AR48" i="3"/>
  <c r="AQ51" i="3"/>
  <c r="AN25" i="24"/>
  <c r="AO25" i="24" s="1"/>
  <c r="AP20" i="24"/>
  <c r="AO20" i="24"/>
  <c r="AX69" i="3"/>
  <c r="AW18" i="24"/>
  <c r="AW19" i="24" s="1"/>
  <c r="AX9" i="2"/>
  <c r="AX64" i="3"/>
  <c r="AS29" i="3"/>
  <c r="AR30" i="3"/>
  <c r="AZ16" i="24"/>
  <c r="BA13" i="24"/>
  <c r="AS28" i="20"/>
  <c r="AS30" i="20" s="1"/>
  <c r="AN31" i="24"/>
  <c r="AO31" i="24" s="1"/>
  <c r="AP26" i="24"/>
  <c r="AP5" i="24"/>
  <c r="AO5" i="24"/>
  <c r="AV17" i="2"/>
  <c r="AV12" i="2"/>
  <c r="AV22" i="2"/>
  <c r="AV20" i="2"/>
  <c r="AV23" i="2"/>
  <c r="AV18" i="2"/>
  <c r="AV16" i="2"/>
  <c r="AV21" i="2"/>
  <c r="AV14" i="2"/>
  <c r="AV13" i="2"/>
  <c r="AU24" i="2"/>
  <c r="BF8" i="1"/>
  <c r="AU52" i="3"/>
  <c r="AT55" i="3"/>
  <c r="AT40" i="3"/>
  <c r="AS42" i="3"/>
  <c r="AX44" i="3"/>
  <c r="AW47" i="3"/>
  <c r="AT34" i="3"/>
  <c r="BH8" i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AT29" i="2"/>
  <c r="AT31" i="3"/>
  <c r="AS33" i="3"/>
  <c r="AU15" i="2"/>
  <c r="AW11" i="2"/>
  <c r="AW28" i="2"/>
  <c r="AW26" i="2"/>
  <c r="AU16" i="3"/>
  <c r="AD63" i="20"/>
  <c r="V23" i="23"/>
  <c r="C47" i="23"/>
  <c r="AA37" i="3"/>
  <c r="AA38" i="3" s="1"/>
  <c r="Z43" i="3"/>
  <c r="Z39" i="3"/>
  <c r="AF49" i="3"/>
  <c r="Y60" i="3"/>
  <c r="AF45" i="3"/>
  <c r="AJ13" i="1"/>
  <c r="AG22" i="3" s="1"/>
  <c r="AG24" i="3" s="1"/>
  <c r="AG53" i="3" s="1"/>
  <c r="AE20" i="1"/>
  <c r="AF19" i="1"/>
  <c r="AG19" i="1"/>
  <c r="AG20" i="1" s="1"/>
  <c r="U17" i="23"/>
  <c r="U19" i="23" s="1"/>
  <c r="AF21" i="2"/>
  <c r="AB66" i="20"/>
  <c r="AC66" i="20" s="1"/>
  <c r="AN9" i="24"/>
  <c r="AO9" i="24" s="1"/>
  <c r="W66" i="3"/>
  <c r="W13" i="23" s="1"/>
  <c r="W17" i="23" s="1"/>
  <c r="W19" i="23" s="1"/>
  <c r="AM32" i="24"/>
  <c r="AN32" i="24"/>
  <c r="AO32" i="24" s="1"/>
  <c r="AO16" i="24"/>
  <c r="AE15" i="2"/>
  <c r="AF23" i="2"/>
  <c r="AB28" i="20"/>
  <c r="AB30" i="20" s="1"/>
  <c r="AF16" i="2"/>
  <c r="AC29" i="2"/>
  <c r="C8" i="26" s="1"/>
  <c r="AE24" i="2"/>
  <c r="AF18" i="2"/>
  <c r="AE19" i="2"/>
  <c r="AD29" i="2"/>
  <c r="H44" i="22"/>
  <c r="I44" i="22" s="1"/>
  <c r="J44" i="22" s="1"/>
  <c r="N87" i="20"/>
  <c r="N35" i="20" s="1"/>
  <c r="X24" i="22"/>
  <c r="E24" i="22"/>
  <c r="S54" i="22"/>
  <c r="T54" i="22" s="1"/>
  <c r="R55" i="22" s="1"/>
  <c r="AF13" i="2"/>
  <c r="AF20" i="2"/>
  <c r="AG26" i="2"/>
  <c r="AG28" i="2"/>
  <c r="AF14" i="2"/>
  <c r="Q10" i="20"/>
  <c r="Q23" i="20" s="1"/>
  <c r="R5" i="20"/>
  <c r="P10" i="20"/>
  <c r="C4" i="28" s="1"/>
  <c r="O23" i="20"/>
  <c r="U75" i="20"/>
  <c r="U77" i="20" s="1"/>
  <c r="V68" i="20"/>
  <c r="AF12" i="2"/>
  <c r="AF17" i="2"/>
  <c r="AF22" i="2"/>
  <c r="AG11" i="2"/>
  <c r="AJ8" i="2"/>
  <c r="AG8" i="3"/>
  <c r="AG71" i="20" s="1"/>
  <c r="AH64" i="3"/>
  <c r="AF7" i="20"/>
  <c r="AF17" i="20"/>
  <c r="AF59" i="20"/>
  <c r="AG8" i="23"/>
  <c r="AG10" i="23" s="1"/>
  <c r="AF10" i="23"/>
  <c r="AC17" i="20"/>
  <c r="AP43" i="20"/>
  <c r="AQ43" i="20" s="1"/>
  <c r="AH9" i="2"/>
  <c r="AF25" i="3"/>
  <c r="AF26" i="3" s="1"/>
  <c r="AH18" i="3"/>
  <c r="AH19" i="3" s="1"/>
  <c r="AG21" i="3"/>
  <c r="AG9" i="3"/>
  <c r="AG11" i="3" s="1"/>
  <c r="AF15" i="3"/>
  <c r="AH12" i="3"/>
  <c r="AH14" i="3" s="1"/>
  <c r="AH5" i="3"/>
  <c r="AL6" i="1"/>
  <c r="AK10" i="1"/>
  <c r="AK13" i="1" s="1"/>
  <c r="AK16" i="1" s="1"/>
  <c r="AK18" i="1" s="1"/>
  <c r="AK19" i="1" s="1"/>
  <c r="AX24" i="27" l="1"/>
  <c r="AX15" i="27"/>
  <c r="AX19" i="27"/>
  <c r="AW15" i="27"/>
  <c r="AY22" i="27"/>
  <c r="AY18" i="27"/>
  <c r="AY12" i="27"/>
  <c r="AY20" i="27"/>
  <c r="AY16" i="27"/>
  <c r="AY19" i="27" s="1"/>
  <c r="AY17" i="27"/>
  <c r="AY13" i="27"/>
  <c r="AY21" i="27"/>
  <c r="AY23" i="27"/>
  <c r="AY14" i="27"/>
  <c r="AW19" i="27"/>
  <c r="AW29" i="27" s="1"/>
  <c r="AW24" i="27"/>
  <c r="AX26" i="27"/>
  <c r="AY25" i="27"/>
  <c r="AU29" i="2"/>
  <c r="AU28" i="20" s="1"/>
  <c r="AU30" i="20" s="1"/>
  <c r="BS8" i="1"/>
  <c r="AT33" i="3"/>
  <c r="AU31" i="3"/>
  <c r="AV52" i="3"/>
  <c r="AU55" i="3"/>
  <c r="AV24" i="2"/>
  <c r="AR51" i="3"/>
  <c r="AS48" i="3"/>
  <c r="Z60" i="3"/>
  <c r="AW23" i="2"/>
  <c r="AW14" i="2"/>
  <c r="AW22" i="2"/>
  <c r="AW21" i="2"/>
  <c r="AW12" i="2"/>
  <c r="AW20" i="2"/>
  <c r="AW18" i="2"/>
  <c r="AW13" i="2"/>
  <c r="AW16" i="2"/>
  <c r="AW17" i="2"/>
  <c r="BC13" i="24"/>
  <c r="BB13" i="24"/>
  <c r="BA16" i="24"/>
  <c r="BB16" i="24" s="1"/>
  <c r="AT29" i="3"/>
  <c r="AS30" i="3"/>
  <c r="AY69" i="3"/>
  <c r="AX18" i="24"/>
  <c r="AX19" i="24" s="1"/>
  <c r="AY9" i="2"/>
  <c r="AY64" i="3"/>
  <c r="AY44" i="3"/>
  <c r="AX47" i="3"/>
  <c r="C24" i="26"/>
  <c r="AT28" i="20"/>
  <c r="AT30" i="20" s="1"/>
  <c r="AV19" i="2"/>
  <c r="AP9" i="24"/>
  <c r="AQ5" i="24"/>
  <c r="AX11" i="2"/>
  <c r="AX26" i="2"/>
  <c r="AP25" i="24"/>
  <c r="AQ20" i="24"/>
  <c r="AQ12" i="24"/>
  <c r="AR10" i="24"/>
  <c r="BD5" i="1"/>
  <c r="AZ6" i="3"/>
  <c r="AZ9" i="27" s="1"/>
  <c r="AV16" i="3"/>
  <c r="AU34" i="3"/>
  <c r="AT42" i="3"/>
  <c r="AU40" i="3"/>
  <c r="AV15" i="2"/>
  <c r="AQ26" i="24"/>
  <c r="AP31" i="24"/>
  <c r="AP32" i="24" s="1"/>
  <c r="AR43" i="20"/>
  <c r="W23" i="23"/>
  <c r="C48" i="23"/>
  <c r="U23" i="23"/>
  <c r="C46" i="23"/>
  <c r="AG49" i="3"/>
  <c r="AG45" i="3"/>
  <c r="AB37" i="3"/>
  <c r="AA43" i="3"/>
  <c r="AA39" i="3"/>
  <c r="AD73" i="20"/>
  <c r="AE73" i="20" s="1"/>
  <c r="AF16" i="23"/>
  <c r="AD16" i="23"/>
  <c r="AF20" i="1"/>
  <c r="AB73" i="20"/>
  <c r="AC73" i="20" s="1"/>
  <c r="AH8" i="3"/>
  <c r="AH71" i="20" s="1"/>
  <c r="AH16" i="20"/>
  <c r="AJ16" i="1"/>
  <c r="AJ18" i="1" s="1"/>
  <c r="AD66" i="20"/>
  <c r="AE14" i="23"/>
  <c r="AG18" i="2"/>
  <c r="X66" i="3"/>
  <c r="X13" i="23" s="1"/>
  <c r="X17" i="23" s="1"/>
  <c r="X19" i="23" s="1"/>
  <c r="AF19" i="2"/>
  <c r="AC28" i="20"/>
  <c r="AG23" i="2"/>
  <c r="AE29" i="2"/>
  <c r="AF14" i="23" s="1"/>
  <c r="AF24" i="2"/>
  <c r="AF15" i="2"/>
  <c r="AD28" i="20"/>
  <c r="AD30" i="20" s="1"/>
  <c r="H45" i="22"/>
  <c r="N89" i="20"/>
  <c r="N45" i="20" s="1"/>
  <c r="N50" i="20" s="1"/>
  <c r="Y24" i="22"/>
  <c r="N33" i="20" s="1"/>
  <c r="N38" i="20" s="1"/>
  <c r="N40" i="20" s="1"/>
  <c r="C25" i="22"/>
  <c r="S55" i="22"/>
  <c r="T55" i="22" s="1"/>
  <c r="R56" i="22" s="1"/>
  <c r="S56" i="22" s="1"/>
  <c r="T56" i="22" s="1"/>
  <c r="R57" i="22" s="1"/>
  <c r="AG13" i="2"/>
  <c r="V75" i="20"/>
  <c r="V77" i="20" s="1"/>
  <c r="W68" i="20"/>
  <c r="P23" i="20"/>
  <c r="C5" i="28" s="1"/>
  <c r="S5" i="20"/>
  <c r="R10" i="20"/>
  <c r="R23" i="20" s="1"/>
  <c r="AH11" i="2"/>
  <c r="AH26" i="2"/>
  <c r="AG20" i="2"/>
  <c r="AG21" i="2"/>
  <c r="AG16" i="2"/>
  <c r="AG12" i="2"/>
  <c r="AG17" i="2"/>
  <c r="AG22" i="2"/>
  <c r="AG14" i="2"/>
  <c r="AK8" i="2"/>
  <c r="AI64" i="3"/>
  <c r="AI20" i="1"/>
  <c r="AF73" i="20" s="1"/>
  <c r="AG17" i="20"/>
  <c r="AF63" i="20"/>
  <c r="AC30" i="20"/>
  <c r="AC21" i="20"/>
  <c r="AI9" i="2"/>
  <c r="AG25" i="3"/>
  <c r="AG26" i="3" s="1"/>
  <c r="AH22" i="3"/>
  <c r="AH24" i="3" s="1"/>
  <c r="AH53" i="3" s="1"/>
  <c r="AI18" i="3"/>
  <c r="AI19" i="3" s="1"/>
  <c r="AH21" i="3"/>
  <c r="AH9" i="3"/>
  <c r="AH11" i="3" s="1"/>
  <c r="AG15" i="3"/>
  <c r="AI12" i="3"/>
  <c r="AI14" i="3" s="1"/>
  <c r="AI5" i="3"/>
  <c r="AM6" i="1"/>
  <c r="AL10" i="1"/>
  <c r="AL13" i="1" s="1"/>
  <c r="AL16" i="1" s="1"/>
  <c r="AL18" i="1" s="1"/>
  <c r="AL19" i="1" s="1"/>
  <c r="AV29" i="2" l="1"/>
  <c r="AV28" i="20" s="1"/>
  <c r="AV30" i="20" s="1"/>
  <c r="AY15" i="27"/>
  <c r="AG7" i="20"/>
  <c r="AZ11" i="27"/>
  <c r="AZ28" i="27"/>
  <c r="BC28" i="27" s="1"/>
  <c r="AY24" i="27"/>
  <c r="AY26" i="27"/>
  <c r="AY29" i="27" s="1"/>
  <c r="AZ25" i="27"/>
  <c r="AX29" i="27"/>
  <c r="AQ66" i="20"/>
  <c r="AW24" i="2"/>
  <c r="AW16" i="3"/>
  <c r="AS10" i="24"/>
  <c r="AR12" i="24"/>
  <c r="AY47" i="3"/>
  <c r="AZ44" i="3"/>
  <c r="AW52" i="3"/>
  <c r="AV55" i="3"/>
  <c r="AH8" i="23"/>
  <c r="AH10" i="23" s="1"/>
  <c r="AU42" i="3"/>
  <c r="AV40" i="3"/>
  <c r="BE5" i="1"/>
  <c r="BA6" i="3"/>
  <c r="BA9" i="27" s="1"/>
  <c r="BA11" i="27" s="1"/>
  <c r="AQ9" i="24"/>
  <c r="AR5" i="24"/>
  <c r="AS51" i="3"/>
  <c r="AT48" i="3"/>
  <c r="AQ31" i="24"/>
  <c r="AR26" i="24"/>
  <c r="AX21" i="2"/>
  <c r="AX14" i="2"/>
  <c r="AX22" i="2"/>
  <c r="AX18" i="2"/>
  <c r="AX12" i="2"/>
  <c r="AX20" i="2"/>
  <c r="AX23" i="2"/>
  <c r="AX16" i="2"/>
  <c r="AX13" i="2"/>
  <c r="AX17" i="2"/>
  <c r="BD13" i="24"/>
  <c r="BC16" i="24"/>
  <c r="AW19" i="2"/>
  <c r="AW15" i="2"/>
  <c r="AV31" i="3"/>
  <c r="AU33" i="3"/>
  <c r="AV34" i="3"/>
  <c r="AZ69" i="3"/>
  <c r="AY18" i="24"/>
  <c r="AY19" i="24" s="1"/>
  <c r="AZ9" i="2"/>
  <c r="AZ64" i="3"/>
  <c r="AR20" i="24"/>
  <c r="AQ25" i="24"/>
  <c r="AQ32" i="24" s="1"/>
  <c r="AY11" i="2"/>
  <c r="AY26" i="2"/>
  <c r="AT30" i="3"/>
  <c r="AU29" i="3"/>
  <c r="AS43" i="20"/>
  <c r="X23" i="23"/>
  <c r="C49" i="23"/>
  <c r="AG59" i="20"/>
  <c r="AH59" i="20" s="1"/>
  <c r="AB38" i="3"/>
  <c r="AC38" i="3" s="1"/>
  <c r="AC37" i="3"/>
  <c r="AH45" i="3"/>
  <c r="AB39" i="3"/>
  <c r="AA60" i="3"/>
  <c r="AH49" i="3"/>
  <c r="AJ19" i="1"/>
  <c r="AI8" i="3"/>
  <c r="AI71" i="20" s="1"/>
  <c r="AI16" i="20"/>
  <c r="AH17" i="2"/>
  <c r="AE66" i="20"/>
  <c r="Y66" i="3"/>
  <c r="Y13" i="23" s="1"/>
  <c r="AE28" i="20"/>
  <c r="AE30" i="20" s="1"/>
  <c r="AH22" i="2"/>
  <c r="AH12" i="2"/>
  <c r="AF29" i="2"/>
  <c r="AG24" i="2"/>
  <c r="I45" i="22"/>
  <c r="J45" i="22" s="1"/>
  <c r="S57" i="22"/>
  <c r="N52" i="20"/>
  <c r="N54" i="20" s="1"/>
  <c r="D25" i="22"/>
  <c r="W25" i="22"/>
  <c r="O81" i="20" s="1"/>
  <c r="S10" i="20"/>
  <c r="S23" i="20" s="1"/>
  <c r="W75" i="20"/>
  <c r="W77" i="20" s="1"/>
  <c r="X68" i="20"/>
  <c r="AH13" i="2"/>
  <c r="AH18" i="2"/>
  <c r="AH23" i="2"/>
  <c r="AH14" i="2"/>
  <c r="AH20" i="2"/>
  <c r="AI11" i="2"/>
  <c r="AI26" i="2"/>
  <c r="AH16" i="2"/>
  <c r="AH21" i="2"/>
  <c r="AG19" i="2"/>
  <c r="AG15" i="2"/>
  <c r="AL8" i="2"/>
  <c r="AJ64" i="3"/>
  <c r="AH7" i="20"/>
  <c r="AH17" i="20"/>
  <c r="AI8" i="23"/>
  <c r="AI10" i="23" s="1"/>
  <c r="AJ9" i="2"/>
  <c r="AH25" i="3"/>
  <c r="AH26" i="3" s="1"/>
  <c r="AI22" i="3"/>
  <c r="AI24" i="3" s="1"/>
  <c r="AI53" i="3" s="1"/>
  <c r="AJ18" i="3"/>
  <c r="AJ19" i="3" s="1"/>
  <c r="AI21" i="3"/>
  <c r="AI9" i="3"/>
  <c r="AI11" i="3" s="1"/>
  <c r="AH15" i="3"/>
  <c r="AJ12" i="3"/>
  <c r="AJ14" i="3" s="1"/>
  <c r="AJ5" i="3"/>
  <c r="AN6" i="1"/>
  <c r="AM10" i="1"/>
  <c r="AM13" i="1" s="1"/>
  <c r="BA18" i="27" l="1"/>
  <c r="BA14" i="27"/>
  <c r="BA21" i="27"/>
  <c r="BA22" i="27"/>
  <c r="BA13" i="27"/>
  <c r="BA17" i="27"/>
  <c r="BA20" i="27"/>
  <c r="BA12" i="27"/>
  <c r="BA23" i="27"/>
  <c r="BA16" i="27"/>
  <c r="AG63" i="20"/>
  <c r="AZ12" i="27"/>
  <c r="AZ17" i="27"/>
  <c r="AZ22" i="27"/>
  <c r="AZ23" i="27"/>
  <c r="AZ14" i="27"/>
  <c r="AZ18" i="27"/>
  <c r="AZ21" i="27"/>
  <c r="AZ13" i="27"/>
  <c r="AZ16" i="27"/>
  <c r="AZ20" i="27"/>
  <c r="AZ26" i="27"/>
  <c r="BA25" i="27"/>
  <c r="AB43" i="3"/>
  <c r="AC43" i="3" s="1"/>
  <c r="AR14" i="23"/>
  <c r="AR66" i="20"/>
  <c r="AV29" i="3"/>
  <c r="AU30" i="3"/>
  <c r="AZ11" i="2"/>
  <c r="AZ28" i="2"/>
  <c r="BC28" i="2" s="1"/>
  <c r="AZ26" i="2"/>
  <c r="AW34" i="3"/>
  <c r="AW29" i="2"/>
  <c r="AX24" i="2"/>
  <c r="BG5" i="1"/>
  <c r="BB6" i="3"/>
  <c r="BB9" i="27" s="1"/>
  <c r="AZ47" i="3"/>
  <c r="BA44" i="3"/>
  <c r="AX16" i="3"/>
  <c r="AR25" i="24"/>
  <c r="AS20" i="24"/>
  <c r="AX19" i="2"/>
  <c r="AW40" i="3"/>
  <c r="AV42" i="3"/>
  <c r="AX15" i="2"/>
  <c r="AU48" i="3"/>
  <c r="AT51" i="3"/>
  <c r="AR9" i="24"/>
  <c r="AS5" i="24"/>
  <c r="AY18" i="2"/>
  <c r="AY17" i="2"/>
  <c r="AY22" i="2"/>
  <c r="AY23" i="2"/>
  <c r="AY16" i="2"/>
  <c r="AY14" i="2"/>
  <c r="AY13" i="2"/>
  <c r="AY20" i="2"/>
  <c r="AY21" i="2"/>
  <c r="AY12" i="2"/>
  <c r="AV33" i="3"/>
  <c r="AW31" i="3"/>
  <c r="BE13" i="24"/>
  <c r="BD16" i="24"/>
  <c r="AS26" i="24"/>
  <c r="AR31" i="24"/>
  <c r="BA69" i="3"/>
  <c r="AZ18" i="24"/>
  <c r="AZ19" i="24" s="1"/>
  <c r="BA9" i="2"/>
  <c r="BA64" i="3"/>
  <c r="AX52" i="3"/>
  <c r="AW55" i="3"/>
  <c r="AT10" i="24"/>
  <c r="AS12" i="24"/>
  <c r="AT43" i="20"/>
  <c r="AD37" i="3"/>
  <c r="AD38" i="3" s="1"/>
  <c r="AD43" i="3" s="1"/>
  <c r="AI45" i="3"/>
  <c r="AI49" i="3"/>
  <c r="AC39" i="3"/>
  <c r="AM16" i="1"/>
  <c r="AM18" i="1" s="1"/>
  <c r="AJ8" i="3"/>
  <c r="AJ71" i="20" s="1"/>
  <c r="AJ16" i="20"/>
  <c r="AJ20" i="1"/>
  <c r="Y17" i="23"/>
  <c r="Y19" i="23" s="1"/>
  <c r="Z66" i="3"/>
  <c r="Z13" i="23" s="1"/>
  <c r="Z17" i="23" s="1"/>
  <c r="Z19" i="23" s="1"/>
  <c r="AF66" i="20"/>
  <c r="AF28" i="20"/>
  <c r="AF30" i="20" s="1"/>
  <c r="AG14" i="23"/>
  <c r="AI21" i="2"/>
  <c r="AI22" i="2"/>
  <c r="AI12" i="2"/>
  <c r="AI16" i="2"/>
  <c r="AH19" i="2"/>
  <c r="AI18" i="2"/>
  <c r="AH15" i="2"/>
  <c r="AH24" i="2"/>
  <c r="H46" i="22"/>
  <c r="I46" i="22" s="1"/>
  <c r="J46" i="22" s="1"/>
  <c r="T57" i="22"/>
  <c r="O83" i="20"/>
  <c r="P81" i="20"/>
  <c r="X25" i="22"/>
  <c r="E25" i="22"/>
  <c r="AJ26" i="2"/>
  <c r="AJ28" i="2"/>
  <c r="AI17" i="2"/>
  <c r="AI23" i="2"/>
  <c r="AI13" i="2"/>
  <c r="AG29" i="2"/>
  <c r="X75" i="20"/>
  <c r="X77" i="20" s="1"/>
  <c r="Y68" i="20"/>
  <c r="AI14" i="2"/>
  <c r="AI20" i="2"/>
  <c r="AJ11" i="2"/>
  <c r="AM8" i="2"/>
  <c r="AK64" i="3"/>
  <c r="AI7" i="20"/>
  <c r="AL20" i="1"/>
  <c r="AK20" i="1"/>
  <c r="AI17" i="20"/>
  <c r="AH63" i="20"/>
  <c r="AI59" i="20"/>
  <c r="AJ8" i="23"/>
  <c r="AJ10" i="23" s="1"/>
  <c r="AE21" i="20"/>
  <c r="AI25" i="3"/>
  <c r="AI26" i="3" s="1"/>
  <c r="AK9" i="2"/>
  <c r="AJ22" i="3"/>
  <c r="AJ24" i="3" s="1"/>
  <c r="AJ53" i="3" s="1"/>
  <c r="AK18" i="3"/>
  <c r="AK19" i="3" s="1"/>
  <c r="AJ21" i="3"/>
  <c r="AJ9" i="3"/>
  <c r="AJ11" i="3" s="1"/>
  <c r="AI15" i="3"/>
  <c r="AK12" i="3"/>
  <c r="AK14" i="3" s="1"/>
  <c r="AK5" i="3"/>
  <c r="AK16" i="20" s="1"/>
  <c r="AO6" i="1"/>
  <c r="AN10" i="1"/>
  <c r="AN13" i="1" s="1"/>
  <c r="AN16" i="1" s="1"/>
  <c r="AN18" i="1" s="1"/>
  <c r="AN19" i="1" s="1"/>
  <c r="BA24" i="27" l="1"/>
  <c r="BA19" i="27"/>
  <c r="AZ24" i="27"/>
  <c r="BC9" i="27"/>
  <c r="BB11" i="27"/>
  <c r="AZ19" i="27"/>
  <c r="AZ15" i="27"/>
  <c r="AZ29" i="27" s="1"/>
  <c r="BA15" i="27"/>
  <c r="BB25" i="27"/>
  <c r="BA26" i="27"/>
  <c r="BA29" i="27" s="1"/>
  <c r="AR32" i="24"/>
  <c r="AB60" i="3"/>
  <c r="AC60" i="3" s="1"/>
  <c r="AY19" i="2"/>
  <c r="AY24" i="2"/>
  <c r="AX29" i="2"/>
  <c r="AX28" i="20" s="1"/>
  <c r="AX30" i="20" s="1"/>
  <c r="AE37" i="3"/>
  <c r="AE38" i="3" s="1"/>
  <c r="AE39" i="3" s="1"/>
  <c r="AT12" i="24"/>
  <c r="AU10" i="24"/>
  <c r="BA11" i="2"/>
  <c r="BA26" i="2"/>
  <c r="AS31" i="24"/>
  <c r="AT26" i="24"/>
  <c r="AU51" i="3"/>
  <c r="AV48" i="3"/>
  <c r="AW28" i="20"/>
  <c r="AW30" i="20" s="1"/>
  <c r="AS9" i="24"/>
  <c r="AT5" i="24"/>
  <c r="AX40" i="3"/>
  <c r="AW42" i="3"/>
  <c r="BB69" i="3"/>
  <c r="BA18" i="24"/>
  <c r="BB9" i="2"/>
  <c r="BC6" i="3"/>
  <c r="BB64" i="3"/>
  <c r="BC64" i="3" s="1"/>
  <c r="AY52" i="3"/>
  <c r="AX55" i="3"/>
  <c r="BE16" i="24"/>
  <c r="BF13" i="24"/>
  <c r="BH5" i="1"/>
  <c r="BD6" i="3"/>
  <c r="BD9" i="27" s="1"/>
  <c r="AX34" i="3"/>
  <c r="AY16" i="3"/>
  <c r="AZ21" i="2"/>
  <c r="AZ12" i="2"/>
  <c r="AZ16" i="2"/>
  <c r="AZ17" i="2"/>
  <c r="AZ20" i="2"/>
  <c r="AZ22" i="2"/>
  <c r="AZ23" i="2"/>
  <c r="AZ14" i="2"/>
  <c r="AZ13" i="2"/>
  <c r="AZ18" i="2"/>
  <c r="AD39" i="3"/>
  <c r="AW33" i="3"/>
  <c r="AX31" i="3"/>
  <c r="AY15" i="2"/>
  <c r="AT20" i="24"/>
  <c r="AS25" i="24"/>
  <c r="BA47" i="3"/>
  <c r="BB44" i="3"/>
  <c r="AW29" i="3"/>
  <c r="AV30" i="3"/>
  <c r="AU43" i="20"/>
  <c r="Z23" i="23"/>
  <c r="C51" i="23"/>
  <c r="Y23" i="23"/>
  <c r="C50" i="23"/>
  <c r="AJ45" i="3"/>
  <c r="AD60" i="3"/>
  <c r="AE43" i="3"/>
  <c r="AJ49" i="3"/>
  <c r="AG73" i="20"/>
  <c r="AH16" i="23"/>
  <c r="AM19" i="1"/>
  <c r="AG28" i="20"/>
  <c r="AG30" i="20" s="1"/>
  <c r="AH14" i="23"/>
  <c r="AG66" i="20"/>
  <c r="AJ16" i="2"/>
  <c r="AA66" i="3"/>
  <c r="AA13" i="23" s="1"/>
  <c r="AA17" i="23" s="1"/>
  <c r="AA19" i="23" s="1"/>
  <c r="AH29" i="2"/>
  <c r="AI19" i="2"/>
  <c r="AI24" i="2"/>
  <c r="H47" i="22"/>
  <c r="I47" i="22" s="1"/>
  <c r="J47" i="22" s="1"/>
  <c r="R58" i="22"/>
  <c r="P83" i="20"/>
  <c r="O85" i="20"/>
  <c r="Y25" i="22"/>
  <c r="O33" i="20" s="1"/>
  <c r="C26" i="22"/>
  <c r="AI15" i="2"/>
  <c r="Y75" i="20"/>
  <c r="Y77" i="20" s="1"/>
  <c r="Z68" i="20"/>
  <c r="AK11" i="2"/>
  <c r="AK26" i="2"/>
  <c r="AJ20" i="2"/>
  <c r="AJ21" i="2"/>
  <c r="AJ12" i="2"/>
  <c r="AJ17" i="2"/>
  <c r="AJ22" i="2"/>
  <c r="AJ13" i="2"/>
  <c r="AJ18" i="2"/>
  <c r="AJ23" i="2"/>
  <c r="AJ14" i="2"/>
  <c r="AN8" i="2"/>
  <c r="AK8" i="3"/>
  <c r="AK71" i="20" s="1"/>
  <c r="AL64" i="3"/>
  <c r="AJ7" i="20"/>
  <c r="AJ16" i="23"/>
  <c r="AH73" i="20"/>
  <c r="AI73" i="20" s="1"/>
  <c r="AJ17" i="20"/>
  <c r="AJ59" i="20"/>
  <c r="AI63" i="20"/>
  <c r="AK8" i="23"/>
  <c r="AF21" i="20"/>
  <c r="AJ25" i="3"/>
  <c r="AJ26" i="3" s="1"/>
  <c r="AL9" i="2"/>
  <c r="AK22" i="3"/>
  <c r="AK24" i="3" s="1"/>
  <c r="AK53" i="3" s="1"/>
  <c r="AL18" i="3"/>
  <c r="AL19" i="3" s="1"/>
  <c r="AK21" i="3"/>
  <c r="AK9" i="3"/>
  <c r="AK11" i="3" s="1"/>
  <c r="AJ15" i="3"/>
  <c r="AL12" i="3"/>
  <c r="AL14" i="3" s="1"/>
  <c r="AL5" i="3"/>
  <c r="AL16" i="20" s="1"/>
  <c r="AP6" i="1"/>
  <c r="AO10" i="1"/>
  <c r="AO13" i="1" s="1"/>
  <c r="AO16" i="1" s="1"/>
  <c r="AO18" i="1" s="1"/>
  <c r="AO19" i="1" s="1"/>
  <c r="BD11" i="27" l="1"/>
  <c r="BD28" i="27"/>
  <c r="BB14" i="27"/>
  <c r="BC14" i="27" s="1"/>
  <c r="BB13" i="27"/>
  <c r="BC13" i="27" s="1"/>
  <c r="BB20" i="27"/>
  <c r="BB21" i="27"/>
  <c r="BC21" i="27" s="1"/>
  <c r="BB12" i="27"/>
  <c r="BB22" i="27"/>
  <c r="BC22" i="27" s="1"/>
  <c r="BB23" i="27"/>
  <c r="BC23" i="27" s="1"/>
  <c r="BB16" i="27"/>
  <c r="BB17" i="27"/>
  <c r="BC17" i="27" s="1"/>
  <c r="BB18" i="27"/>
  <c r="BC18" i="27" s="1"/>
  <c r="BC11" i="27"/>
  <c r="BB26" i="27"/>
  <c r="BD25" i="27"/>
  <c r="BC25" i="27"/>
  <c r="AS14" i="23"/>
  <c r="AS66" i="20"/>
  <c r="AF37" i="3"/>
  <c r="AF38" i="3" s="1"/>
  <c r="AG37" i="3" s="1"/>
  <c r="AG38" i="3" s="1"/>
  <c r="AY29" i="2"/>
  <c r="AY28" i="20" s="1"/>
  <c r="AY30" i="20" s="1"/>
  <c r="AX33" i="3"/>
  <c r="AY31" i="3"/>
  <c r="AZ16" i="3"/>
  <c r="AY55" i="3"/>
  <c r="AZ52" i="3"/>
  <c r="BD44" i="3"/>
  <c r="BC44" i="3"/>
  <c r="BB47" i="3"/>
  <c r="BC47" i="3" s="1"/>
  <c r="AZ24" i="2"/>
  <c r="BI5" i="1"/>
  <c r="BE6" i="3"/>
  <c r="BE9" i="27" s="1"/>
  <c r="BE11" i="27" s="1"/>
  <c r="BC9" i="2"/>
  <c r="BB11" i="2"/>
  <c r="BB26" i="2"/>
  <c r="BC26" i="2" s="1"/>
  <c r="AX42" i="3"/>
  <c r="AY40" i="3"/>
  <c r="AT31" i="24"/>
  <c r="AU26" i="24"/>
  <c r="AV10" i="24"/>
  <c r="AU12" i="24"/>
  <c r="BB18" i="24"/>
  <c r="BA19" i="24"/>
  <c r="BB19" i="24" s="1"/>
  <c r="AT9" i="24"/>
  <c r="AU5" i="24"/>
  <c r="AS32" i="24"/>
  <c r="AT14" i="23" s="1"/>
  <c r="AZ19" i="2"/>
  <c r="AY34" i="3"/>
  <c r="BF16" i="24"/>
  <c r="BG13" i="24"/>
  <c r="AV51" i="3"/>
  <c r="AW48" i="3"/>
  <c r="AW30" i="3"/>
  <c r="AX29" i="3"/>
  <c r="AU20" i="24"/>
  <c r="AT25" i="24"/>
  <c r="AZ15" i="2"/>
  <c r="BC18" i="24"/>
  <c r="BC19" i="24" s="1"/>
  <c r="BD9" i="2"/>
  <c r="BD64" i="3"/>
  <c r="BA20" i="2"/>
  <c r="BA17" i="2"/>
  <c r="BA16" i="2"/>
  <c r="BA18" i="2"/>
  <c r="BA13" i="2"/>
  <c r="BA23" i="2"/>
  <c r="BA22" i="2"/>
  <c r="BA21" i="2"/>
  <c r="BA12" i="2"/>
  <c r="BA14" i="2"/>
  <c r="AV43" i="20"/>
  <c r="AA23" i="23"/>
  <c r="C52" i="23"/>
  <c r="AK49" i="3"/>
  <c r="AK45" i="3"/>
  <c r="AL45" i="3" s="1"/>
  <c r="AE60" i="3"/>
  <c r="AF43" i="3"/>
  <c r="AF39" i="3"/>
  <c r="AK20" i="2"/>
  <c r="AH28" i="20"/>
  <c r="AH30" i="20" s="1"/>
  <c r="AI14" i="23"/>
  <c r="AH66" i="20"/>
  <c r="AK13" i="2"/>
  <c r="AK21" i="2"/>
  <c r="AI29" i="2"/>
  <c r="AK22" i="2"/>
  <c r="AK16" i="2"/>
  <c r="AK23" i="2"/>
  <c r="AK17" i="2"/>
  <c r="H48" i="22"/>
  <c r="S58" i="22"/>
  <c r="D26" i="22"/>
  <c r="W26" i="22"/>
  <c r="Q81" i="20" s="1"/>
  <c r="Q83" i="20" s="1"/>
  <c r="Q85" i="20" s="1"/>
  <c r="P33" i="20"/>
  <c r="O87" i="20"/>
  <c r="P85" i="20"/>
  <c r="AK12" i="2"/>
  <c r="AK18" i="2"/>
  <c r="Z75" i="20"/>
  <c r="Z77" i="20" s="1"/>
  <c r="AA68" i="20"/>
  <c r="AL11" i="2"/>
  <c r="AL26" i="2"/>
  <c r="AK14" i="2"/>
  <c r="AJ15" i="2"/>
  <c r="AJ24" i="2"/>
  <c r="AJ19" i="2"/>
  <c r="AO8" i="2"/>
  <c r="AP8" i="2" s="1"/>
  <c r="AL8" i="3"/>
  <c r="AL71" i="20" s="1"/>
  <c r="AK7" i="20"/>
  <c r="AN20" i="1"/>
  <c r="AM20" i="1"/>
  <c r="AJ73" i="20" s="1"/>
  <c r="AM64" i="3"/>
  <c r="AK17" i="20"/>
  <c r="AJ63" i="20"/>
  <c r="AK59" i="20"/>
  <c r="AL8" i="23"/>
  <c r="AL10" i="23" s="1"/>
  <c r="AK10" i="23"/>
  <c r="AG21" i="20"/>
  <c r="AK25" i="3"/>
  <c r="AK26" i="3" s="1"/>
  <c r="AM9" i="2"/>
  <c r="AL22" i="3"/>
  <c r="AL24" i="3" s="1"/>
  <c r="AL53" i="3" s="1"/>
  <c r="AM18" i="3"/>
  <c r="AM19" i="3" s="1"/>
  <c r="AL21" i="3"/>
  <c r="AL9" i="3"/>
  <c r="AL11" i="3" s="1"/>
  <c r="AK15" i="3"/>
  <c r="AM12" i="3"/>
  <c r="AM14" i="3" s="1"/>
  <c r="AM5" i="3"/>
  <c r="AM16" i="20" s="1"/>
  <c r="AQ6" i="1"/>
  <c r="AP10" i="1"/>
  <c r="AP13" i="1" s="1"/>
  <c r="AP16" i="1" s="1"/>
  <c r="AP18" i="1" s="1"/>
  <c r="AP19" i="1" s="1"/>
  <c r="BE17" i="27" l="1"/>
  <c r="BE18" i="27"/>
  <c r="BE13" i="27"/>
  <c r="BE21" i="27"/>
  <c r="BE23" i="27"/>
  <c r="BE20" i="27"/>
  <c r="BE22" i="27"/>
  <c r="BE12" i="27"/>
  <c r="BE16" i="27"/>
  <c r="BE19" i="27" s="1"/>
  <c r="BE14" i="27"/>
  <c r="BB15" i="27"/>
  <c r="BC15" i="27" s="1"/>
  <c r="BC12" i="27"/>
  <c r="BB19" i="27"/>
  <c r="BC19" i="27" s="1"/>
  <c r="BC16" i="27"/>
  <c r="BB24" i="27"/>
  <c r="BC24" i="27" s="1"/>
  <c r="BC20" i="27"/>
  <c r="BD18" i="27"/>
  <c r="BD21" i="27"/>
  <c r="BD20" i="27"/>
  <c r="BD13" i="27"/>
  <c r="BD14" i="27"/>
  <c r="BD16" i="27"/>
  <c r="BD23" i="27"/>
  <c r="BD22" i="27"/>
  <c r="BD12" i="27"/>
  <c r="BD15" i="27" s="1"/>
  <c r="BD17" i="27"/>
  <c r="BC26" i="27"/>
  <c r="BD26" i="27"/>
  <c r="BE25" i="27"/>
  <c r="AT32" i="24"/>
  <c r="AU14" i="23" s="1"/>
  <c r="AX30" i="3"/>
  <c r="AY29" i="3"/>
  <c r="AV12" i="24"/>
  <c r="AW10" i="24"/>
  <c r="BA19" i="2"/>
  <c r="BD11" i="2"/>
  <c r="BD28" i="2"/>
  <c r="BD26" i="2"/>
  <c r="AU25" i="24"/>
  <c r="AV20" i="24"/>
  <c r="AU9" i="24"/>
  <c r="AV5" i="24"/>
  <c r="AZ40" i="3"/>
  <c r="AY42" i="3"/>
  <c r="AT66" i="20"/>
  <c r="BD47" i="3"/>
  <c r="BE44" i="3"/>
  <c r="BA16" i="3"/>
  <c r="AZ55" i="3"/>
  <c r="BA52" i="3"/>
  <c r="AZ31" i="3"/>
  <c r="AY33" i="3"/>
  <c r="BA15" i="2"/>
  <c r="BA24" i="2"/>
  <c r="AZ29" i="2"/>
  <c r="BH13" i="24"/>
  <c r="BG16" i="24"/>
  <c r="AV26" i="24"/>
  <c r="AU31" i="24"/>
  <c r="AU32" i="24" s="1"/>
  <c r="AV14" i="23" s="1"/>
  <c r="BJ5" i="1"/>
  <c r="BF6" i="3"/>
  <c r="BF9" i="27" s="1"/>
  <c r="BF11" i="27" s="1"/>
  <c r="AZ34" i="3"/>
  <c r="BE9" i="2"/>
  <c r="BD18" i="24"/>
  <c r="BD19" i="24" s="1"/>
  <c r="BE64" i="3"/>
  <c r="AX48" i="3"/>
  <c r="AW51" i="3"/>
  <c r="BB22" i="2"/>
  <c r="BB20" i="2"/>
  <c r="BB18" i="2"/>
  <c r="BB21" i="2"/>
  <c r="BB14" i="2"/>
  <c r="BB23" i="2"/>
  <c r="BB16" i="2"/>
  <c r="BB13" i="2"/>
  <c r="BB17" i="2"/>
  <c r="BB12" i="2"/>
  <c r="BC11" i="2"/>
  <c r="AW43" i="20"/>
  <c r="AF60" i="3"/>
  <c r="AL49" i="3"/>
  <c r="AH37" i="3"/>
  <c r="AH38" i="3" s="1"/>
  <c r="AG43" i="3"/>
  <c r="AG39" i="3"/>
  <c r="AI28" i="20"/>
  <c r="AI30" i="20" s="1"/>
  <c r="AJ14" i="23"/>
  <c r="AI66" i="20"/>
  <c r="AL23" i="2"/>
  <c r="AD66" i="3"/>
  <c r="AK24" i="2"/>
  <c r="AK15" i="2"/>
  <c r="AK19" i="2"/>
  <c r="AL17" i="2"/>
  <c r="I48" i="22"/>
  <c r="J48" i="22" s="1"/>
  <c r="T58" i="22"/>
  <c r="O89" i="20"/>
  <c r="P87" i="20"/>
  <c r="T16" i="23"/>
  <c r="O35" i="20"/>
  <c r="O38" i="20" s="1"/>
  <c r="O40" i="20" s="1"/>
  <c r="X26" i="22"/>
  <c r="E26" i="22"/>
  <c r="Q87" i="20"/>
  <c r="Q89" i="20" s="1"/>
  <c r="Q45" i="20" s="1"/>
  <c r="AL18" i="2"/>
  <c r="AL12" i="2"/>
  <c r="AL22" i="2"/>
  <c r="AM26" i="2"/>
  <c r="AM28" i="2"/>
  <c r="AP28" i="2" s="1"/>
  <c r="AL13" i="2"/>
  <c r="AA75" i="20"/>
  <c r="AA77" i="20" s="1"/>
  <c r="AB66" i="3"/>
  <c r="AC66" i="3" s="1"/>
  <c r="C9" i="26" s="1"/>
  <c r="AJ29" i="2"/>
  <c r="AL14" i="2"/>
  <c r="AL20" i="2"/>
  <c r="AL16" i="2"/>
  <c r="AL21" i="2"/>
  <c r="AM11" i="2"/>
  <c r="AK73" i="20"/>
  <c r="AM8" i="3"/>
  <c r="AM71" i="20" s="1"/>
  <c r="AN64" i="3"/>
  <c r="AL7" i="20"/>
  <c r="AL16" i="23"/>
  <c r="AL17" i="20"/>
  <c r="AK63" i="20"/>
  <c r="AL59" i="20"/>
  <c r="AM8" i="23"/>
  <c r="AH21" i="20"/>
  <c r="AL25" i="3"/>
  <c r="AL26" i="3" s="1"/>
  <c r="AN9" i="2"/>
  <c r="AM22" i="3"/>
  <c r="AM24" i="3" s="1"/>
  <c r="AM45" i="3" s="1"/>
  <c r="AN18" i="3"/>
  <c r="AN19" i="3" s="1"/>
  <c r="AM21" i="3"/>
  <c r="AM9" i="3"/>
  <c r="AM11" i="3" s="1"/>
  <c r="AL15" i="3"/>
  <c r="AN12" i="3"/>
  <c r="AN14" i="3" s="1"/>
  <c r="AN5" i="3"/>
  <c r="AN16" i="20" s="1"/>
  <c r="AR6" i="1"/>
  <c r="AQ10" i="1"/>
  <c r="AQ13" i="1" s="1"/>
  <c r="AQ16" i="1" s="1"/>
  <c r="AQ18" i="1" s="1"/>
  <c r="AQ19" i="1" s="1"/>
  <c r="BB29" i="27" l="1"/>
  <c r="BC29" i="27" s="1"/>
  <c r="BE15" i="27"/>
  <c r="BF20" i="27"/>
  <c r="BF24" i="27" s="1"/>
  <c r="BF22" i="27"/>
  <c r="BF13" i="27"/>
  <c r="BF23" i="27"/>
  <c r="BF16" i="27"/>
  <c r="BF19" i="27" s="1"/>
  <c r="BF12" i="27"/>
  <c r="BF18" i="27"/>
  <c r="BF21" i="27"/>
  <c r="BF14" i="27"/>
  <c r="BF17" i="27"/>
  <c r="BD24" i="27"/>
  <c r="BD19" i="27"/>
  <c r="BE24" i="27"/>
  <c r="BE26" i="27"/>
  <c r="BF25" i="27"/>
  <c r="BD29" i="27"/>
  <c r="BB15" i="2"/>
  <c r="BC15" i="2" s="1"/>
  <c r="BB24" i="2"/>
  <c r="BC24" i="2" s="1"/>
  <c r="BA29" i="2"/>
  <c r="BA28" i="20" s="1"/>
  <c r="BA30" i="20" s="1"/>
  <c r="AZ28" i="20"/>
  <c r="AZ30" i="20" s="1"/>
  <c r="AS6" i="1"/>
  <c r="AT6" i="1"/>
  <c r="BB19" i="2"/>
  <c r="BC19" i="2" s="1"/>
  <c r="AX51" i="3"/>
  <c r="AY48" i="3"/>
  <c r="BB16" i="3"/>
  <c r="AU66" i="20"/>
  <c r="AV9" i="24"/>
  <c r="AW5" i="24"/>
  <c r="AX10" i="24"/>
  <c r="AW12" i="24"/>
  <c r="AW26" i="24"/>
  <c r="AV31" i="24"/>
  <c r="C21" i="26"/>
  <c r="C22" i="26" s="1"/>
  <c r="C25" i="26" s="1"/>
  <c r="C26" i="26" s="1"/>
  <c r="C11" i="26"/>
  <c r="C12" i="26" s="1"/>
  <c r="BF69" i="3"/>
  <c r="BE18" i="24"/>
  <c r="BE19" i="24" s="1"/>
  <c r="BF9" i="2"/>
  <c r="BF64" i="3"/>
  <c r="BB52" i="3"/>
  <c r="BA55" i="3"/>
  <c r="BE47" i="3"/>
  <c r="BF44" i="3"/>
  <c r="AZ42" i="3"/>
  <c r="BA40" i="3"/>
  <c r="AV25" i="24"/>
  <c r="AW20" i="24"/>
  <c r="BD20" i="2"/>
  <c r="BD17" i="2"/>
  <c r="BD18" i="2"/>
  <c r="BD16" i="2"/>
  <c r="BD19" i="2" s="1"/>
  <c r="BD13" i="2"/>
  <c r="BD22" i="2"/>
  <c r="BD21" i="2"/>
  <c r="BD12" i="2"/>
  <c r="BD23" i="2"/>
  <c r="BD14" i="2"/>
  <c r="AZ29" i="3"/>
  <c r="AY30" i="3"/>
  <c r="BA34" i="3"/>
  <c r="BA31" i="3"/>
  <c r="AZ33" i="3"/>
  <c r="BB29" i="2"/>
  <c r="BE11" i="2"/>
  <c r="BE26" i="2"/>
  <c r="BK5" i="1"/>
  <c r="BG6" i="3"/>
  <c r="BG9" i="27" s="1"/>
  <c r="BH16" i="24"/>
  <c r="BI13" i="24"/>
  <c r="AX43" i="20"/>
  <c r="AM49" i="3"/>
  <c r="AM53" i="3"/>
  <c r="AI37" i="3"/>
  <c r="AI38" i="3" s="1"/>
  <c r="AH43" i="3"/>
  <c r="AH39" i="3"/>
  <c r="AG60" i="3"/>
  <c r="T17" i="23"/>
  <c r="T19" i="23" s="1"/>
  <c r="C45" i="23" s="1"/>
  <c r="AC16" i="23"/>
  <c r="AJ66" i="20"/>
  <c r="AJ28" i="20"/>
  <c r="AJ30" i="20" s="1"/>
  <c r="AK14" i="23"/>
  <c r="AD68" i="20"/>
  <c r="AD75" i="20" s="1"/>
  <c r="AD77" i="20" s="1"/>
  <c r="AD13" i="23"/>
  <c r="AE66" i="3"/>
  <c r="AK29" i="2"/>
  <c r="AL14" i="23" s="1"/>
  <c r="AL15" i="2"/>
  <c r="AL24" i="2"/>
  <c r="AL19" i="2"/>
  <c r="R59" i="22"/>
  <c r="P38" i="20"/>
  <c r="O45" i="20"/>
  <c r="P89" i="20"/>
  <c r="Q35" i="20"/>
  <c r="P35" i="20"/>
  <c r="P40" i="20"/>
  <c r="Y26" i="22"/>
  <c r="Q33" i="20" s="1"/>
  <c r="C27" i="22"/>
  <c r="AB13" i="23"/>
  <c r="AC13" i="23" s="1"/>
  <c r="AB68" i="20"/>
  <c r="AM23" i="2"/>
  <c r="AM17" i="2"/>
  <c r="AN11" i="2"/>
  <c r="AN26" i="2"/>
  <c r="AM12" i="2"/>
  <c r="AM22" i="2"/>
  <c r="AM13" i="2"/>
  <c r="AM18" i="2"/>
  <c r="AM14" i="2"/>
  <c r="AM20" i="2"/>
  <c r="AM16" i="2"/>
  <c r="AM21" i="2"/>
  <c r="AN8" i="3"/>
  <c r="AN71" i="20" s="1"/>
  <c r="AM7" i="20"/>
  <c r="AP20" i="1"/>
  <c r="AO20" i="1"/>
  <c r="AM17" i="20"/>
  <c r="AL63" i="20"/>
  <c r="AM59" i="20"/>
  <c r="AN8" i="23"/>
  <c r="AN10" i="23" s="1"/>
  <c r="AM10" i="23"/>
  <c r="AI21" i="20"/>
  <c r="AM25" i="3"/>
  <c r="AM26" i="3" s="1"/>
  <c r="AR10" i="1"/>
  <c r="AN22" i="3"/>
  <c r="AN24" i="3" s="1"/>
  <c r="AN53" i="3" s="1"/>
  <c r="AO18" i="3"/>
  <c r="AN21" i="3"/>
  <c r="AN9" i="3"/>
  <c r="AN11" i="3" s="1"/>
  <c r="AM15" i="3"/>
  <c r="AO12" i="3"/>
  <c r="AO5" i="3"/>
  <c r="C8" i="28" l="1"/>
  <c r="C7" i="28"/>
  <c r="BG11" i="27"/>
  <c r="BG28" i="27"/>
  <c r="BD15" i="2"/>
  <c r="BE29" i="27"/>
  <c r="BF15" i="27"/>
  <c r="BF26" i="27"/>
  <c r="BF29" i="27" s="1"/>
  <c r="BG25" i="27"/>
  <c r="AV32" i="24"/>
  <c r="AW14" i="23" s="1"/>
  <c r="AO14" i="3"/>
  <c r="AQ12" i="3"/>
  <c r="AP12" i="3"/>
  <c r="AQ18" i="3"/>
  <c r="AP18" i="3"/>
  <c r="BJ13" i="24"/>
  <c r="BI16" i="24"/>
  <c r="BB31" i="3"/>
  <c r="BA33" i="3"/>
  <c r="AZ30" i="3"/>
  <c r="BA29" i="3"/>
  <c r="BD24" i="2"/>
  <c r="BD29" i="2" s="1"/>
  <c r="BD52" i="3"/>
  <c r="BB55" i="3"/>
  <c r="BC55" i="3" s="1"/>
  <c r="BC52" i="3"/>
  <c r="AY51" i="3"/>
  <c r="AZ48" i="3"/>
  <c r="AT10" i="1"/>
  <c r="AU6" i="1"/>
  <c r="AW25" i="24"/>
  <c r="AX20" i="24"/>
  <c r="AW31" i="24"/>
  <c r="AX26" i="24"/>
  <c r="AV66" i="20"/>
  <c r="BG69" i="3"/>
  <c r="BF18" i="24"/>
  <c r="BF19" i="24" s="1"/>
  <c r="BG9" i="2"/>
  <c r="BG64" i="3"/>
  <c r="BB28" i="20"/>
  <c r="BC29" i="2"/>
  <c r="BB34" i="3"/>
  <c r="BF11" i="2"/>
  <c r="BF26" i="2"/>
  <c r="AW9" i="24"/>
  <c r="AX5" i="24"/>
  <c r="BD16" i="3"/>
  <c r="BC16" i="3"/>
  <c r="BE23" i="2"/>
  <c r="BE12" i="2"/>
  <c r="BE22" i="2"/>
  <c r="BE21" i="2"/>
  <c r="BE13" i="2"/>
  <c r="BE16" i="2"/>
  <c r="BE18" i="2"/>
  <c r="BE20" i="2"/>
  <c r="BE17" i="2"/>
  <c r="BE14" i="2"/>
  <c r="BF47" i="3"/>
  <c r="BG44" i="3"/>
  <c r="AO16" i="20"/>
  <c r="AP16" i="20" s="1"/>
  <c r="AQ5" i="3"/>
  <c r="AP5" i="3"/>
  <c r="BL5" i="1"/>
  <c r="BH6" i="3"/>
  <c r="BH9" i="27" s="1"/>
  <c r="BH11" i="27" s="1"/>
  <c r="BA42" i="3"/>
  <c r="BB40" i="3"/>
  <c r="AY10" i="24"/>
  <c r="AX12" i="24"/>
  <c r="AY43" i="20"/>
  <c r="T5" i="20"/>
  <c r="T10" i="20" s="1"/>
  <c r="T23" i="20" s="1"/>
  <c r="T23" i="23"/>
  <c r="AH60" i="3"/>
  <c r="AN49" i="3"/>
  <c r="AN45" i="3"/>
  <c r="AJ37" i="3"/>
  <c r="AJ38" i="3" s="1"/>
  <c r="AI43" i="3"/>
  <c r="AI39" i="3"/>
  <c r="AR13" i="1"/>
  <c r="AS13" i="1" s="1"/>
  <c r="AS10" i="1"/>
  <c r="D3" i="26" s="1"/>
  <c r="D6" i="26" s="1"/>
  <c r="D16" i="26" s="1"/>
  <c r="AK28" i="20"/>
  <c r="AK30" i="20" s="1"/>
  <c r="AC17" i="23"/>
  <c r="AC19" i="23" s="1"/>
  <c r="AD17" i="23"/>
  <c r="AD19" i="23" s="1"/>
  <c r="AN18" i="2"/>
  <c r="AK66" i="20"/>
  <c r="AF66" i="3"/>
  <c r="AF13" i="23" s="1"/>
  <c r="AF17" i="23" s="1"/>
  <c r="AF19" i="23" s="1"/>
  <c r="AE13" i="23"/>
  <c r="AE17" i="23" s="1"/>
  <c r="AE19" i="23" s="1"/>
  <c r="AN22" i="2"/>
  <c r="AL29" i="2"/>
  <c r="AN16" i="2"/>
  <c r="AN21" i="2"/>
  <c r="AN13" i="2"/>
  <c r="H49" i="22"/>
  <c r="I49" i="22" s="1"/>
  <c r="J49" i="22" s="1"/>
  <c r="S59" i="22"/>
  <c r="Q38" i="20"/>
  <c r="Q40" i="20" s="1"/>
  <c r="P45" i="20"/>
  <c r="Q44" i="20" s="1"/>
  <c r="O50" i="20"/>
  <c r="D27" i="22"/>
  <c r="W27" i="22"/>
  <c r="R81" i="20" s="1"/>
  <c r="R83" i="20" s="1"/>
  <c r="R85" i="20" s="1"/>
  <c r="AN17" i="2"/>
  <c r="AN23" i="2"/>
  <c r="AN12" i="2"/>
  <c r="AM19" i="2"/>
  <c r="AE68" i="20"/>
  <c r="AE75" i="20" s="1"/>
  <c r="AE77" i="20" s="1"/>
  <c r="AC68" i="20"/>
  <c r="AB75" i="20"/>
  <c r="AB17" i="23"/>
  <c r="AN14" i="2"/>
  <c r="AN20" i="2"/>
  <c r="AM24" i="2"/>
  <c r="AM15" i="2"/>
  <c r="AN16" i="23"/>
  <c r="AL73" i="20"/>
  <c r="AM73" i="20" s="1"/>
  <c r="AO64" i="3"/>
  <c r="AP64" i="3" s="1"/>
  <c r="AO8" i="3"/>
  <c r="AO71" i="20" s="1"/>
  <c r="AN7" i="20"/>
  <c r="AN17" i="20"/>
  <c r="AM63" i="20"/>
  <c r="AN59" i="20"/>
  <c r="AO8" i="23"/>
  <c r="AP8" i="23" s="1"/>
  <c r="AP10" i="23" s="1"/>
  <c r="AP14" i="3"/>
  <c r="AJ21" i="20"/>
  <c r="AN25" i="3"/>
  <c r="AN26" i="3" s="1"/>
  <c r="AO9" i="2"/>
  <c r="AP9" i="2" s="1"/>
  <c r="AO21" i="3"/>
  <c r="AP21" i="3" s="1"/>
  <c r="AO19" i="3"/>
  <c r="AP19" i="3" s="1"/>
  <c r="AO9" i="3"/>
  <c r="AN15" i="3"/>
  <c r="BH21" i="27" l="1"/>
  <c r="BH14" i="27"/>
  <c r="BH16" i="27"/>
  <c r="BH19" i="27" s="1"/>
  <c r="BH17" i="27"/>
  <c r="BH22" i="27"/>
  <c r="BH12" i="27"/>
  <c r="BH13" i="27"/>
  <c r="BH18" i="27"/>
  <c r="BH20" i="27"/>
  <c r="BH24" i="27" s="1"/>
  <c r="BH23" i="27"/>
  <c r="BG23" i="27"/>
  <c r="BG21" i="27"/>
  <c r="BG12" i="27"/>
  <c r="BG22" i="27"/>
  <c r="BG20" i="27"/>
  <c r="BG14" i="27"/>
  <c r="BG17" i="27"/>
  <c r="BG16" i="27"/>
  <c r="BG13" i="27"/>
  <c r="BG18" i="27"/>
  <c r="BH25" i="27"/>
  <c r="BG26" i="27"/>
  <c r="AW32" i="24"/>
  <c r="AX14" i="23" s="1"/>
  <c r="AX9" i="24"/>
  <c r="AY5" i="24"/>
  <c r="AO11" i="3"/>
  <c r="AO15" i="3" s="1"/>
  <c r="AP15" i="3" s="1"/>
  <c r="AQ9" i="3"/>
  <c r="AP9" i="3"/>
  <c r="AZ10" i="24"/>
  <c r="AY12" i="24"/>
  <c r="BM5" i="1"/>
  <c r="BI6" i="3"/>
  <c r="BI9" i="27" s="1"/>
  <c r="BI11" i="27" s="1"/>
  <c r="BD28" i="20"/>
  <c r="BD30" i="20" s="1"/>
  <c r="BE15" i="2"/>
  <c r="BE16" i="3"/>
  <c r="AX31" i="24"/>
  <c r="AY26" i="24"/>
  <c r="BA48" i="3"/>
  <c r="AZ51" i="3"/>
  <c r="BD40" i="3"/>
  <c r="BB42" i="3"/>
  <c r="BC42" i="3" s="1"/>
  <c r="BC40" i="3"/>
  <c r="BG47" i="3"/>
  <c r="BH44" i="3"/>
  <c r="BF22" i="2"/>
  <c r="BF17" i="2"/>
  <c r="BF12" i="2"/>
  <c r="BF18" i="2"/>
  <c r="BF20" i="2"/>
  <c r="BF13" i="2"/>
  <c r="BF23" i="2"/>
  <c r="BF21" i="2"/>
  <c r="BF14" i="2"/>
  <c r="BF16" i="2"/>
  <c r="BD55" i="3"/>
  <c r="BE52" i="3"/>
  <c r="BK13" i="24"/>
  <c r="BJ16" i="24"/>
  <c r="AQ8" i="3"/>
  <c r="AQ71" i="20" s="1"/>
  <c r="AQ16" i="20"/>
  <c r="AR5" i="3"/>
  <c r="BE24" i="2"/>
  <c r="AX25" i="24"/>
  <c r="AY20" i="24"/>
  <c r="AV6" i="1"/>
  <c r="AU10" i="1"/>
  <c r="AU13" i="1" s="1"/>
  <c r="BD31" i="3"/>
  <c r="BB33" i="3"/>
  <c r="BC33" i="3" s="1"/>
  <c r="BC31" i="3"/>
  <c r="BB30" i="20"/>
  <c r="BC30" i="20" s="1"/>
  <c r="BC28" i="20"/>
  <c r="AQ14" i="3"/>
  <c r="AR12" i="3"/>
  <c r="BH69" i="3"/>
  <c r="BG18" i="24"/>
  <c r="BG19" i="24" s="1"/>
  <c r="BH9" i="2"/>
  <c r="BH64" i="3"/>
  <c r="BE19" i="2"/>
  <c r="BD34" i="3"/>
  <c r="BE34" i="3" s="1"/>
  <c r="BC34" i="3"/>
  <c r="BG11" i="2"/>
  <c r="BG28" i="2"/>
  <c r="BG26" i="2"/>
  <c r="AW66" i="20"/>
  <c r="AT13" i="1"/>
  <c r="BA30" i="3"/>
  <c r="BB29" i="3"/>
  <c r="AR18" i="3"/>
  <c r="AQ21" i="3"/>
  <c r="AQ19" i="3"/>
  <c r="AZ43" i="20"/>
  <c r="AE23" i="23"/>
  <c r="C55" i="23"/>
  <c r="AD23" i="23"/>
  <c r="C54" i="23"/>
  <c r="AF23" i="23"/>
  <c r="C56" i="23"/>
  <c r="U5" i="20"/>
  <c r="U10" i="20" s="1"/>
  <c r="U23" i="20" s="1"/>
  <c r="AR16" i="1"/>
  <c r="AO22" i="3"/>
  <c r="AI60" i="3"/>
  <c r="AJ43" i="3"/>
  <c r="AK37" i="3"/>
  <c r="AK38" i="3" s="1"/>
  <c r="AJ39" i="3"/>
  <c r="AL66" i="20"/>
  <c r="AO17" i="20"/>
  <c r="AL28" i="20"/>
  <c r="AL30" i="20" s="1"/>
  <c r="AM14" i="23"/>
  <c r="AG66" i="3"/>
  <c r="AG13" i="23" s="1"/>
  <c r="AN15" i="2"/>
  <c r="AN19" i="2"/>
  <c r="T59" i="22"/>
  <c r="P50" i="20"/>
  <c r="C9" i="28" s="1"/>
  <c r="O52" i="20"/>
  <c r="R44" i="20"/>
  <c r="Q50" i="20"/>
  <c r="Q52" i="20" s="1"/>
  <c r="Q54" i="20" s="1"/>
  <c r="R87" i="20"/>
  <c r="R35" i="20" s="1"/>
  <c r="X27" i="22"/>
  <c r="E27" i="22"/>
  <c r="AM29" i="2"/>
  <c r="AN14" i="23" s="1"/>
  <c r="AN24" i="2"/>
  <c r="AF68" i="20"/>
  <c r="AF75" i="20" s="1"/>
  <c r="AF77" i="20" s="1"/>
  <c r="AB19" i="23"/>
  <c r="AC75" i="20"/>
  <c r="D12" i="28" s="1"/>
  <c r="AB77" i="20"/>
  <c r="AC77" i="20" s="1"/>
  <c r="AO11" i="2"/>
  <c r="AO26" i="2"/>
  <c r="AP26" i="2" s="1"/>
  <c r="AQ20" i="1"/>
  <c r="AP71" i="20"/>
  <c r="AN63" i="20"/>
  <c r="AO10" i="23"/>
  <c r="AK21" i="20"/>
  <c r="AP8" i="3"/>
  <c r="BF19" i="2" l="1"/>
  <c r="BG29" i="27"/>
  <c r="BG24" i="27"/>
  <c r="F7" i="25"/>
  <c r="D6" i="28"/>
  <c r="BG19" i="27"/>
  <c r="BH15" i="27"/>
  <c r="BI17" i="27"/>
  <c r="BI13" i="27"/>
  <c r="BI22" i="27"/>
  <c r="BI12" i="27"/>
  <c r="BI18" i="27"/>
  <c r="BI16" i="27"/>
  <c r="BI19" i="27" s="1"/>
  <c r="BI20" i="27"/>
  <c r="BI14" i="27"/>
  <c r="BI23" i="27"/>
  <c r="BI21" i="27"/>
  <c r="BG15" i="27"/>
  <c r="BH26" i="27"/>
  <c r="BI25" i="27"/>
  <c r="AX32" i="24"/>
  <c r="AY14" i="23" s="1"/>
  <c r="BF24" i="2"/>
  <c r="BF34" i="3"/>
  <c r="AN73" i="20"/>
  <c r="BH11" i="2"/>
  <c r="BH26" i="2"/>
  <c r="AR14" i="3"/>
  <c r="AS12" i="3"/>
  <c r="AR22" i="3"/>
  <c r="AR24" i="3" s="1"/>
  <c r="AU16" i="1"/>
  <c r="BF15" i="2"/>
  <c r="BN5" i="1"/>
  <c r="BJ6" i="3"/>
  <c r="BJ9" i="27" s="1"/>
  <c r="AQ69" i="3"/>
  <c r="AQ11" i="3"/>
  <c r="AR9" i="3"/>
  <c r="AQ22" i="3"/>
  <c r="AQ24" i="3" s="1"/>
  <c r="AT16" i="1"/>
  <c r="AR16" i="20"/>
  <c r="AR8" i="3"/>
  <c r="AS5" i="3"/>
  <c r="BA51" i="3"/>
  <c r="BB48" i="3"/>
  <c r="AQ17" i="20"/>
  <c r="AQ21" i="20" s="1"/>
  <c r="BD29" i="3"/>
  <c r="BB30" i="3"/>
  <c r="BC29" i="3"/>
  <c r="BG21" i="2"/>
  <c r="BG14" i="2"/>
  <c r="BG13" i="2"/>
  <c r="BG17" i="2"/>
  <c r="BG12" i="2"/>
  <c r="BG23" i="2"/>
  <c r="BG16" i="2"/>
  <c r="BG18" i="2"/>
  <c r="BG20" i="2"/>
  <c r="BG22" i="2"/>
  <c r="BE31" i="3"/>
  <c r="BD33" i="3"/>
  <c r="AZ20" i="24"/>
  <c r="AY25" i="24"/>
  <c r="BE55" i="3"/>
  <c r="BF52" i="3"/>
  <c r="AY31" i="24"/>
  <c r="AZ26" i="24"/>
  <c r="AZ12" i="24"/>
  <c r="BA10" i="24"/>
  <c r="AY9" i="24"/>
  <c r="AZ5" i="24"/>
  <c r="AR18" i="1"/>
  <c r="AR19" i="1" s="1"/>
  <c r="AS19" i="1" s="1"/>
  <c r="AQ8" i="23"/>
  <c r="AR21" i="3"/>
  <c r="AS18" i="3"/>
  <c r="AR19" i="3"/>
  <c r="AV10" i="1"/>
  <c r="AW6" i="1"/>
  <c r="BK16" i="24"/>
  <c r="BL13" i="24"/>
  <c r="BF16" i="3"/>
  <c r="D10" i="26"/>
  <c r="G8" i="25"/>
  <c r="AO7" i="20"/>
  <c r="AP7" i="20" s="1"/>
  <c r="AX66" i="20"/>
  <c r="AR71" i="20"/>
  <c r="AR17" i="20" s="1"/>
  <c r="BI44" i="3"/>
  <c r="BH47" i="3"/>
  <c r="BD42" i="3"/>
  <c r="BE40" i="3"/>
  <c r="BE29" i="2"/>
  <c r="BI69" i="3"/>
  <c r="BH18" i="24"/>
  <c r="BH19" i="24" s="1"/>
  <c r="BI9" i="2"/>
  <c r="BI64" i="3"/>
  <c r="F22" i="25"/>
  <c r="F10" i="25"/>
  <c r="D10" i="28" s="1"/>
  <c r="BA43" i="20"/>
  <c r="AB23" i="23"/>
  <c r="AC23" i="23" s="1"/>
  <c r="C53" i="23"/>
  <c r="V5" i="20"/>
  <c r="W5" i="20" s="1"/>
  <c r="W10" i="20" s="1"/>
  <c r="W23" i="20" s="1"/>
  <c r="AS16" i="1"/>
  <c r="AO24" i="3"/>
  <c r="AP22" i="3"/>
  <c r="AO59" i="20"/>
  <c r="AO63" i="20" s="1"/>
  <c r="AK43" i="3"/>
  <c r="AL37" i="3"/>
  <c r="AL38" i="3" s="1"/>
  <c r="AK39" i="3"/>
  <c r="AJ60" i="3"/>
  <c r="AS18" i="1"/>
  <c r="AO22" i="2"/>
  <c r="AP22" i="2" s="1"/>
  <c r="BC22" i="2" s="1"/>
  <c r="AM66" i="20"/>
  <c r="AO18" i="2"/>
  <c r="AP18" i="2" s="1"/>
  <c r="BC18" i="2" s="1"/>
  <c r="AN29" i="2"/>
  <c r="AO14" i="23" s="1"/>
  <c r="AP14" i="23" s="1"/>
  <c r="AM28" i="20"/>
  <c r="AM30" i="20" s="1"/>
  <c r="AO13" i="2"/>
  <c r="AP13" i="2" s="1"/>
  <c r="BC13" i="2" s="1"/>
  <c r="AO20" i="2"/>
  <c r="AP20" i="2" s="1"/>
  <c r="BC20" i="2" s="1"/>
  <c r="AO14" i="2"/>
  <c r="AP14" i="2" s="1"/>
  <c r="BC14" i="2" s="1"/>
  <c r="AO21" i="2"/>
  <c r="AP21" i="2" s="1"/>
  <c r="BC21" i="2" s="1"/>
  <c r="AP11" i="2"/>
  <c r="AO16" i="2"/>
  <c r="AP16" i="2" s="1"/>
  <c r="BC16" i="2" s="1"/>
  <c r="AO23" i="2"/>
  <c r="AP23" i="2" s="1"/>
  <c r="BC23" i="2" s="1"/>
  <c r="H50" i="22"/>
  <c r="I50" i="22" s="1"/>
  <c r="J50" i="22" s="1"/>
  <c r="R60" i="22"/>
  <c r="Y27" i="22"/>
  <c r="R33" i="20" s="1"/>
  <c r="R38" i="20" s="1"/>
  <c r="R40" i="20" s="1"/>
  <c r="C28" i="22"/>
  <c r="S44" i="20"/>
  <c r="R89" i="20"/>
  <c r="R45" i="20" s="1"/>
  <c r="R50" i="20" s="1"/>
  <c r="O54" i="20"/>
  <c r="P52" i="20"/>
  <c r="P54" i="20" s="1"/>
  <c r="AO12" i="2"/>
  <c r="AP12" i="2" s="1"/>
  <c r="BC12" i="2" s="1"/>
  <c r="AO17" i="2"/>
  <c r="AP17" i="2" s="1"/>
  <c r="BC17" i="2" s="1"/>
  <c r="AG68" i="20"/>
  <c r="AG75" i="20" s="1"/>
  <c r="AG77" i="20" s="1"/>
  <c r="AH66" i="3"/>
  <c r="AP11" i="3"/>
  <c r="AL21" i="20"/>
  <c r="BJ11" i="27" l="1"/>
  <c r="BJ28" i="27"/>
  <c r="BI15" i="27"/>
  <c r="BI24" i="27"/>
  <c r="BH29" i="27"/>
  <c r="BI26" i="27"/>
  <c r="BI29" i="27" s="1"/>
  <c r="BJ25" i="27"/>
  <c r="AY32" i="24"/>
  <c r="AZ14" i="23" s="1"/>
  <c r="BF29" i="2"/>
  <c r="BF28" i="20" s="1"/>
  <c r="BF30" i="20" s="1"/>
  <c r="AW10" i="1"/>
  <c r="AW13" i="1" s="1"/>
  <c r="AX6" i="1"/>
  <c r="AZ25" i="24"/>
  <c r="BA20" i="24"/>
  <c r="BE29" i="3"/>
  <c r="BD30" i="3"/>
  <c r="AQ59" i="20"/>
  <c r="AQ7" i="20"/>
  <c r="AR8" i="23"/>
  <c r="AR10" i="23" s="1"/>
  <c r="AT18" i="1"/>
  <c r="BF40" i="3"/>
  <c r="BE42" i="3"/>
  <c r="BG16" i="3"/>
  <c r="AS21" i="3"/>
  <c r="AT18" i="3"/>
  <c r="AS19" i="3"/>
  <c r="AZ9" i="24"/>
  <c r="BA5" i="24"/>
  <c r="AZ31" i="24"/>
  <c r="BA26" i="24"/>
  <c r="BG19" i="2"/>
  <c r="BC30" i="3"/>
  <c r="AQ15" i="3"/>
  <c r="AS16" i="20"/>
  <c r="AT5" i="3"/>
  <c r="AS8" i="3"/>
  <c r="AS71" i="20" s="1"/>
  <c r="BL16" i="24"/>
  <c r="BM13" i="24"/>
  <c r="AV13" i="1"/>
  <c r="AQ10" i="23"/>
  <c r="BC10" i="24"/>
  <c r="BB10" i="24"/>
  <c r="BA12" i="24"/>
  <c r="BF55" i="3"/>
  <c r="BG52" i="3"/>
  <c r="BG24" i="2"/>
  <c r="BG15" i="2"/>
  <c r="AQ25" i="3"/>
  <c r="AQ26" i="3" s="1"/>
  <c r="AQ53" i="3"/>
  <c r="AR53" i="3" s="1"/>
  <c r="BJ69" i="3"/>
  <c r="BJ9" i="2"/>
  <c r="BI18" i="24"/>
  <c r="BI19" i="24" s="1"/>
  <c r="BJ64" i="3"/>
  <c r="AR25" i="3"/>
  <c r="AR26" i="3" s="1"/>
  <c r="BH18" i="2"/>
  <c r="BH17" i="2"/>
  <c r="BH13" i="2"/>
  <c r="BH23" i="2"/>
  <c r="BH16" i="2"/>
  <c r="BH14" i="2"/>
  <c r="BH22" i="2"/>
  <c r="BH12" i="2"/>
  <c r="BH20" i="2"/>
  <c r="BH21" i="2"/>
  <c r="AS8" i="23"/>
  <c r="AS10" i="23" s="1"/>
  <c r="AR7" i="20"/>
  <c r="AU18" i="1"/>
  <c r="BI11" i="2"/>
  <c r="BI26" i="2"/>
  <c r="BE28" i="20"/>
  <c r="BE30" i="20" s="1"/>
  <c r="BJ44" i="3"/>
  <c r="BI47" i="3"/>
  <c r="AY66" i="20"/>
  <c r="BF31" i="3"/>
  <c r="BE33" i="3"/>
  <c r="BD48" i="3"/>
  <c r="BC48" i="3"/>
  <c r="BB51" i="3"/>
  <c r="BC51" i="3" s="1"/>
  <c r="AR21" i="20"/>
  <c r="AR69" i="3"/>
  <c r="BC69" i="3" s="1"/>
  <c r="AR11" i="3"/>
  <c r="AR15" i="3" s="1"/>
  <c r="AS9" i="3"/>
  <c r="BO5" i="1"/>
  <c r="BK6" i="3"/>
  <c r="BK9" i="27" s="1"/>
  <c r="BK11" i="27" s="1"/>
  <c r="AT12" i="3"/>
  <c r="AS14" i="3"/>
  <c r="BG34" i="3"/>
  <c r="BB43" i="20"/>
  <c r="V10" i="20"/>
  <c r="V23" i="20" s="1"/>
  <c r="X5" i="20"/>
  <c r="X10" i="20" s="1"/>
  <c r="X23" i="20" s="1"/>
  <c r="AP59" i="20"/>
  <c r="AR20" i="1"/>
  <c r="AS20" i="1" s="1"/>
  <c r="AO53" i="3"/>
  <c r="AP53" i="3" s="1"/>
  <c r="AP24" i="3"/>
  <c r="AO49" i="3"/>
  <c r="AO25" i="3"/>
  <c r="AO45" i="3"/>
  <c r="AK60" i="3"/>
  <c r="AL43" i="3"/>
  <c r="AM37" i="3"/>
  <c r="AM38" i="3" s="1"/>
  <c r="AL39" i="3"/>
  <c r="AN66" i="20"/>
  <c r="AN28" i="20"/>
  <c r="AN30" i="20" s="1"/>
  <c r="AI66" i="3"/>
  <c r="AI13" i="23" s="1"/>
  <c r="AI17" i="23" s="1"/>
  <c r="AI19" i="23" s="1"/>
  <c r="AH13" i="23"/>
  <c r="AO15" i="2"/>
  <c r="AP15" i="2" s="1"/>
  <c r="AO24" i="2"/>
  <c r="AP24" i="2" s="1"/>
  <c r="AO19" i="2"/>
  <c r="AP19" i="2" s="1"/>
  <c r="S60" i="22"/>
  <c r="W28" i="22"/>
  <c r="S81" i="20" s="1"/>
  <c r="S83" i="20" s="1"/>
  <c r="S85" i="20" s="1"/>
  <c r="D28" i="22"/>
  <c r="R52" i="20"/>
  <c r="R54" i="20" s="1"/>
  <c r="T44" i="20"/>
  <c r="U44" i="20" s="1"/>
  <c r="V44" i="20" s="1"/>
  <c r="AH68" i="20"/>
  <c r="AP63" i="20"/>
  <c r="AM21" i="20"/>
  <c r="BK18" i="27" l="1"/>
  <c r="BK16" i="27"/>
  <c r="BK19" i="27" s="1"/>
  <c r="BK14" i="27"/>
  <c r="BK13" i="27"/>
  <c r="BK20" i="27"/>
  <c r="BK22" i="27"/>
  <c r="BK17" i="27"/>
  <c r="BK23" i="27"/>
  <c r="BK21" i="27"/>
  <c r="BK12" i="27"/>
  <c r="F16" i="25"/>
  <c r="E11" i="28"/>
  <c r="BJ22" i="27"/>
  <c r="BJ21" i="27"/>
  <c r="BJ23" i="27"/>
  <c r="BJ20" i="27"/>
  <c r="BJ17" i="27"/>
  <c r="BJ16" i="27"/>
  <c r="BJ14" i="27"/>
  <c r="BJ12" i="27"/>
  <c r="BJ18" i="27"/>
  <c r="BJ13" i="27"/>
  <c r="BJ26" i="27"/>
  <c r="BK25" i="27"/>
  <c r="Y5" i="20"/>
  <c r="Y10" i="20" s="1"/>
  <c r="Y23" i="20" s="1"/>
  <c r="AS17" i="20"/>
  <c r="AS21" i="20" s="1"/>
  <c r="BD51" i="3"/>
  <c r="BE48" i="3"/>
  <c r="AY6" i="1"/>
  <c r="AX10" i="1"/>
  <c r="AP45" i="3"/>
  <c r="AQ45" i="3"/>
  <c r="AR45" i="3" s="1"/>
  <c r="AO73" i="20"/>
  <c r="AP73" i="20" s="1"/>
  <c r="AQ16" i="23"/>
  <c r="AS11" i="3"/>
  <c r="AT9" i="3"/>
  <c r="BG31" i="3"/>
  <c r="BF33" i="3"/>
  <c r="AU19" i="1"/>
  <c r="AU20" i="1" s="1"/>
  <c r="AP49" i="3"/>
  <c r="AQ49" i="3"/>
  <c r="AR49" i="3" s="1"/>
  <c r="AU12" i="3"/>
  <c r="AT14" i="3"/>
  <c r="AZ66" i="20"/>
  <c r="BI22" i="2"/>
  <c r="BI20" i="2"/>
  <c r="BI23" i="2"/>
  <c r="BI18" i="2"/>
  <c r="BI16" i="2"/>
  <c r="BI21" i="2"/>
  <c r="BI14" i="2"/>
  <c r="BI13" i="2"/>
  <c r="BI17" i="2"/>
  <c r="BI12" i="2"/>
  <c r="BG55" i="3"/>
  <c r="BH52" i="3"/>
  <c r="BC12" i="24"/>
  <c r="BD10" i="24"/>
  <c r="AV16" i="1"/>
  <c r="AS22" i="3"/>
  <c r="AS24" i="3" s="1"/>
  <c r="AS53" i="3" s="1"/>
  <c r="BA9" i="24"/>
  <c r="BB9" i="24" s="1"/>
  <c r="BC5" i="24"/>
  <c r="BB5" i="24"/>
  <c r="AQ63" i="20"/>
  <c r="AR59" i="20"/>
  <c r="AZ32" i="24"/>
  <c r="BA14" i="23" s="1"/>
  <c r="BH34" i="3"/>
  <c r="BP5" i="1"/>
  <c r="BL6" i="3"/>
  <c r="BL9" i="27" s="1"/>
  <c r="BL11" i="27" s="1"/>
  <c r="BH24" i="2"/>
  <c r="BH19" i="2"/>
  <c r="BJ11" i="2"/>
  <c r="BJ28" i="2"/>
  <c r="BJ26" i="2"/>
  <c r="BG29" i="2"/>
  <c r="BB12" i="24"/>
  <c r="BA31" i="24"/>
  <c r="BB31" i="24" s="1"/>
  <c r="BC26" i="24"/>
  <c r="BH16" i="3"/>
  <c r="BG40" i="3"/>
  <c r="BF42" i="3"/>
  <c r="BF29" i="3"/>
  <c r="BE30" i="3"/>
  <c r="AW16" i="1"/>
  <c r="AT22" i="3"/>
  <c r="AT24" i="3" s="1"/>
  <c r="BK69" i="3"/>
  <c r="BJ18" i="24"/>
  <c r="BJ19" i="24" s="1"/>
  <c r="BK9" i="2"/>
  <c r="BK64" i="3"/>
  <c r="BM16" i="24"/>
  <c r="BN13" i="24"/>
  <c r="AT19" i="1"/>
  <c r="AT20" i="1" s="1"/>
  <c r="BJ47" i="3"/>
  <c r="BK44" i="3"/>
  <c r="BH15" i="2"/>
  <c r="AT16" i="20"/>
  <c r="AU5" i="3"/>
  <c r="AT8" i="3"/>
  <c r="AT71" i="20" s="1"/>
  <c r="AT21" i="3"/>
  <c r="AU18" i="3"/>
  <c r="AT19" i="3"/>
  <c r="F20" i="25"/>
  <c r="F24" i="25" s="1"/>
  <c r="BC20" i="24"/>
  <c r="BA25" i="24"/>
  <c r="BB25" i="24" s="1"/>
  <c r="BB20" i="24"/>
  <c r="BC43" i="20"/>
  <c r="BD43" i="20" s="1"/>
  <c r="AI23" i="23"/>
  <c r="C59" i="23"/>
  <c r="AO26" i="3"/>
  <c r="AP26" i="3" s="1"/>
  <c r="AP25" i="3"/>
  <c r="AL60" i="3"/>
  <c r="AN37" i="3"/>
  <c r="AN38" i="3" s="1"/>
  <c r="AM43" i="3"/>
  <c r="AM39" i="3"/>
  <c r="AH17" i="23"/>
  <c r="AH19" i="23" s="1"/>
  <c r="AJ66" i="3"/>
  <c r="AJ13" i="23" s="1"/>
  <c r="AJ17" i="23" s="1"/>
  <c r="AJ19" i="23" s="1"/>
  <c r="AO29" i="2"/>
  <c r="AQ14" i="23" s="1"/>
  <c r="H51" i="22"/>
  <c r="T60" i="22"/>
  <c r="Z5" i="20"/>
  <c r="S87" i="20"/>
  <c r="S35" i="20" s="1"/>
  <c r="W44" i="20"/>
  <c r="X28" i="22"/>
  <c r="E28" i="22"/>
  <c r="AH75" i="20"/>
  <c r="AH77" i="20" s="1"/>
  <c r="AI68" i="20"/>
  <c r="AN21" i="20"/>
  <c r="BJ19" i="27" l="1"/>
  <c r="AT25" i="3"/>
  <c r="AT26" i="3" s="1"/>
  <c r="AT53" i="3"/>
  <c r="BK15" i="27"/>
  <c r="BL17" i="27"/>
  <c r="BL14" i="27"/>
  <c r="BL16" i="27"/>
  <c r="BL19" i="27" s="1"/>
  <c r="BL18" i="27"/>
  <c r="BL12" i="27"/>
  <c r="BL20" i="27"/>
  <c r="BL23" i="27"/>
  <c r="BL21" i="27"/>
  <c r="BL22" i="27"/>
  <c r="BL13" i="27"/>
  <c r="BJ29" i="27"/>
  <c r="BJ15" i="27"/>
  <c r="BJ24" i="27"/>
  <c r="BK24" i="27"/>
  <c r="BK26" i="27"/>
  <c r="BL25" i="27"/>
  <c r="AS45" i="3"/>
  <c r="AT45" i="3" s="1"/>
  <c r="BH29" i="2"/>
  <c r="BH28" i="20" s="1"/>
  <c r="BH30" i="20" s="1"/>
  <c r="AS25" i="3"/>
  <c r="AS26" i="3" s="1"/>
  <c r="AS49" i="3"/>
  <c r="AT49" i="3" s="1"/>
  <c r="AQ73" i="20"/>
  <c r="AR73" i="20" s="1"/>
  <c r="AS16" i="23"/>
  <c r="BN16" i="24"/>
  <c r="BO16" i="24" s="1"/>
  <c r="BO13" i="24"/>
  <c r="AU16" i="20"/>
  <c r="AV5" i="3"/>
  <c r="AU8" i="3"/>
  <c r="AU71" i="20" s="1"/>
  <c r="BK11" i="2"/>
  <c r="BK26" i="2"/>
  <c r="AW18" i="1"/>
  <c r="AW19" i="1" s="1"/>
  <c r="AW20" i="1" s="1"/>
  <c r="AT7" i="20"/>
  <c r="AU8" i="23"/>
  <c r="AU10" i="23" s="1"/>
  <c r="BH40" i="3"/>
  <c r="BG42" i="3"/>
  <c r="BA32" i="24"/>
  <c r="BB32" i="24" s="1"/>
  <c r="BL69" i="3"/>
  <c r="BK18" i="24"/>
  <c r="BK19" i="24" s="1"/>
  <c r="BL9" i="2"/>
  <c r="BL64" i="3"/>
  <c r="AS59" i="20"/>
  <c r="AR63" i="20"/>
  <c r="BC9" i="24"/>
  <c r="BD5" i="24"/>
  <c r="BI52" i="3"/>
  <c r="BH55" i="3"/>
  <c r="BI19" i="2"/>
  <c r="AV12" i="3"/>
  <c r="AU14" i="3"/>
  <c r="BH31" i="3"/>
  <c r="BG33" i="3"/>
  <c r="AZ6" i="1"/>
  <c r="AY10" i="1"/>
  <c r="AY13" i="1" s="1"/>
  <c r="AU21" i="3"/>
  <c r="AV18" i="3"/>
  <c r="AU19" i="3"/>
  <c r="BQ5" i="1"/>
  <c r="BM6" i="3"/>
  <c r="BM9" i="27" s="1"/>
  <c r="AV18" i="1"/>
  <c r="AT8" i="23"/>
  <c r="AS7" i="20"/>
  <c r="AT11" i="3"/>
  <c r="AT15" i="3" s="1"/>
  <c r="AU9" i="3"/>
  <c r="BE51" i="3"/>
  <c r="BF48" i="3"/>
  <c r="BF30" i="3"/>
  <c r="BG29" i="3"/>
  <c r="BI16" i="3"/>
  <c r="BG28" i="20"/>
  <c r="BG30" i="20" s="1"/>
  <c r="BD12" i="24"/>
  <c r="BE10" i="24"/>
  <c r="BA66" i="20"/>
  <c r="AS15" i="3"/>
  <c r="BJ22" i="2"/>
  <c r="BJ21" i="2"/>
  <c r="BJ12" i="2"/>
  <c r="BJ18" i="2"/>
  <c r="BJ20" i="2"/>
  <c r="BJ17" i="2"/>
  <c r="BJ23" i="2"/>
  <c r="BJ16" i="2"/>
  <c r="BJ14" i="2"/>
  <c r="BJ13" i="2"/>
  <c r="AT17" i="20"/>
  <c r="AT21" i="20" s="1"/>
  <c r="BD20" i="24"/>
  <c r="BC25" i="24"/>
  <c r="BL44" i="3"/>
  <c r="BK47" i="3"/>
  <c r="BC31" i="24"/>
  <c r="BD26" i="24"/>
  <c r="BI34" i="3"/>
  <c r="BI15" i="2"/>
  <c r="BI24" i="2"/>
  <c r="AX13" i="1"/>
  <c r="BE43" i="20"/>
  <c r="AH23" i="23"/>
  <c r="C58" i="23"/>
  <c r="AJ23" i="23"/>
  <c r="C60" i="23"/>
  <c r="AM60" i="3"/>
  <c r="AO37" i="3"/>
  <c r="AN43" i="3"/>
  <c r="AN39" i="3"/>
  <c r="AO28" i="20"/>
  <c r="AO30" i="20" s="1"/>
  <c r="AO66" i="20"/>
  <c r="AP66" i="20" s="1"/>
  <c r="AK66" i="3"/>
  <c r="AK13" i="23" s="1"/>
  <c r="AK17" i="23" s="1"/>
  <c r="AK19" i="23" s="1"/>
  <c r="AP29" i="2"/>
  <c r="D8" i="26" s="1"/>
  <c r="I51" i="22"/>
  <c r="J51" i="22" s="1"/>
  <c r="W51" i="22"/>
  <c r="R61" i="22"/>
  <c r="Z10" i="20"/>
  <c r="Z23" i="20" s="1"/>
  <c r="AA5" i="20"/>
  <c r="S89" i="20"/>
  <c r="S45" i="20" s="1"/>
  <c r="S50" i="20" s="1"/>
  <c r="X44" i="20"/>
  <c r="Y44" i="20" s="1"/>
  <c r="Z44" i="20" s="1"/>
  <c r="AA44" i="20" s="1"/>
  <c r="AB44" i="20" s="1"/>
  <c r="AC44" i="20" s="1"/>
  <c r="Y28" i="22"/>
  <c r="S33" i="20" s="1"/>
  <c r="S38" i="20" s="1"/>
  <c r="S40" i="20" s="1"/>
  <c r="C29" i="22"/>
  <c r="AI75" i="20"/>
  <c r="AI77" i="20" s="1"/>
  <c r="AJ68" i="20"/>
  <c r="AO21" i="20"/>
  <c r="AP17" i="20"/>
  <c r="BM11" i="27" l="1"/>
  <c r="BM28" i="27"/>
  <c r="BP28" i="27" s="1"/>
  <c r="BJ19" i="2"/>
  <c r="BL24" i="27"/>
  <c r="BJ15" i="2"/>
  <c r="BK29" i="27"/>
  <c r="BL15" i="27"/>
  <c r="BL26" i="27"/>
  <c r="BM25" i="27"/>
  <c r="BC32" i="24"/>
  <c r="AU17" i="20"/>
  <c r="BD66" i="20"/>
  <c r="BB66" i="20"/>
  <c r="BG48" i="3"/>
  <c r="BF51" i="3"/>
  <c r="AV19" i="1"/>
  <c r="AV20" i="1" s="1"/>
  <c r="AU16" i="23" s="1"/>
  <c r="AW18" i="3"/>
  <c r="AV21" i="3"/>
  <c r="AV19" i="3"/>
  <c r="BA6" i="1"/>
  <c r="AZ10" i="1"/>
  <c r="AV14" i="3"/>
  <c r="AW12" i="3"/>
  <c r="BI55" i="3"/>
  <c r="BJ52" i="3"/>
  <c r="AS63" i="20"/>
  <c r="AT59" i="20"/>
  <c r="BK22" i="2"/>
  <c r="BK20" i="2"/>
  <c r="BK18" i="2"/>
  <c r="BK21" i="2"/>
  <c r="BK23" i="2"/>
  <c r="BK13" i="2"/>
  <c r="BK14" i="2"/>
  <c r="BK17" i="2"/>
  <c r="BK12" i="2"/>
  <c r="BK16" i="2"/>
  <c r="BJ16" i="3"/>
  <c r="BM44" i="3"/>
  <c r="BL47" i="3"/>
  <c r="BG30" i="3"/>
  <c r="BH29" i="3"/>
  <c r="AV9" i="3"/>
  <c r="AU11" i="3"/>
  <c r="BR5" i="1"/>
  <c r="BO6" i="3" s="1"/>
  <c r="BO9" i="27" s="1"/>
  <c r="BN6" i="3"/>
  <c r="BN9" i="27" s="1"/>
  <c r="BN11" i="27" s="1"/>
  <c r="BH33" i="3"/>
  <c r="BI31" i="3"/>
  <c r="BL11" i="2"/>
  <c r="BL26" i="2"/>
  <c r="AV16" i="20"/>
  <c r="AV8" i="3"/>
  <c r="AV71" i="20" s="1"/>
  <c r="AW5" i="3"/>
  <c r="BI29" i="2"/>
  <c r="BJ34" i="3"/>
  <c r="BD25" i="24"/>
  <c r="BE20" i="24"/>
  <c r="BM69" i="3"/>
  <c r="BL18" i="24"/>
  <c r="BL19" i="24" s="1"/>
  <c r="BM9" i="2"/>
  <c r="BM64" i="3"/>
  <c r="BD9" i="24"/>
  <c r="BE5" i="24"/>
  <c r="E8" i="26"/>
  <c r="BB14" i="23"/>
  <c r="BC14" i="23" s="1"/>
  <c r="D24" i="26"/>
  <c r="AX16" i="1"/>
  <c r="AU22" i="3"/>
  <c r="AU24" i="3" s="1"/>
  <c r="AU25" i="3" s="1"/>
  <c r="AU26" i="3" s="1"/>
  <c r="BE26" i="24"/>
  <c r="BD31" i="24"/>
  <c r="BJ24" i="2"/>
  <c r="BJ29" i="2" s="1"/>
  <c r="BE12" i="24"/>
  <c r="BF10" i="24"/>
  <c r="AT10" i="23"/>
  <c r="AV22" i="3"/>
  <c r="AV24" i="3" s="1"/>
  <c r="AY16" i="1"/>
  <c r="BH42" i="3"/>
  <c r="BI40" i="3"/>
  <c r="AU21" i="20"/>
  <c r="BF43" i="20"/>
  <c r="AK23" i="23"/>
  <c r="C61" i="23"/>
  <c r="AN60" i="3"/>
  <c r="AO38" i="3"/>
  <c r="AP37" i="3"/>
  <c r="AP28" i="20"/>
  <c r="AL66" i="3"/>
  <c r="AL13" i="23" s="1"/>
  <c r="AL17" i="23" s="1"/>
  <c r="AL19" i="23" s="1"/>
  <c r="X51" i="22"/>
  <c r="S61" i="22"/>
  <c r="S52" i="20"/>
  <c r="S54" i="20" s="1"/>
  <c r="AA10" i="20"/>
  <c r="AA23" i="20" s="1"/>
  <c r="AB5" i="20"/>
  <c r="D29" i="22"/>
  <c r="W29" i="22"/>
  <c r="T81" i="20" s="1"/>
  <c r="T83" i="20" s="1"/>
  <c r="T85" i="20" s="1"/>
  <c r="AJ75" i="20"/>
  <c r="AJ77" i="20" s="1"/>
  <c r="AK68" i="20"/>
  <c r="AP30" i="20"/>
  <c r="AP21" i="20"/>
  <c r="BN22" i="27" l="1"/>
  <c r="BN23" i="27"/>
  <c r="BN20" i="27"/>
  <c r="BN24" i="27" s="1"/>
  <c r="BN13" i="27"/>
  <c r="BN18" i="27"/>
  <c r="BN21" i="27"/>
  <c r="BN16" i="27"/>
  <c r="BN19" i="27" s="1"/>
  <c r="BN12" i="27"/>
  <c r="BN15" i="27" s="1"/>
  <c r="BN14" i="27"/>
  <c r="BN17" i="27"/>
  <c r="BP9" i="27"/>
  <c r="BO11" i="27"/>
  <c r="BK24" i="2"/>
  <c r="BL29" i="27"/>
  <c r="BM17" i="27"/>
  <c r="BM14" i="27"/>
  <c r="BM12" i="27"/>
  <c r="BM22" i="27"/>
  <c r="BM18" i="27"/>
  <c r="BM23" i="27"/>
  <c r="BM16" i="27"/>
  <c r="BM21" i="27"/>
  <c r="BM20" i="27"/>
  <c r="BM13" i="27"/>
  <c r="BM26" i="27"/>
  <c r="BN25" i="27"/>
  <c r="BD14" i="23"/>
  <c r="BD32" i="24"/>
  <c r="BE14" i="23" s="1"/>
  <c r="AS73" i="20"/>
  <c r="AT73" i="20" s="1"/>
  <c r="BJ28" i="20"/>
  <c r="BJ30" i="20" s="1"/>
  <c r="AV17" i="20"/>
  <c r="AV21" i="20" s="1"/>
  <c r="BG10" i="24"/>
  <c r="BF12" i="24"/>
  <c r="E24" i="26"/>
  <c r="BM11" i="2"/>
  <c r="BM28" i="2"/>
  <c r="BP28" i="2" s="1"/>
  <c r="BM26" i="2"/>
  <c r="BJ55" i="3"/>
  <c r="BK52" i="3"/>
  <c r="BG51" i="3"/>
  <c r="BH48" i="3"/>
  <c r="BK34" i="3"/>
  <c r="BO69" i="3"/>
  <c r="BN18" i="24"/>
  <c r="BP6" i="3"/>
  <c r="BO9" i="2"/>
  <c r="BO64" i="3"/>
  <c r="AW8" i="23"/>
  <c r="AW10" i="23" s="1"/>
  <c r="AV7" i="20"/>
  <c r="AY18" i="1"/>
  <c r="AX18" i="1"/>
  <c r="AU7" i="20"/>
  <c r="AV8" i="23"/>
  <c r="BE25" i="24"/>
  <c r="BF20" i="24"/>
  <c r="BJ31" i="3"/>
  <c r="BI33" i="3"/>
  <c r="AU15" i="3"/>
  <c r="BM47" i="3"/>
  <c r="BN44" i="3"/>
  <c r="AV25" i="3"/>
  <c r="AV26" i="3" s="1"/>
  <c r="AP38" i="3"/>
  <c r="AQ37" i="3"/>
  <c r="AQ38" i="3" s="1"/>
  <c r="BF26" i="24"/>
  <c r="BE31" i="24"/>
  <c r="BI28" i="20"/>
  <c r="BI30" i="20" s="1"/>
  <c r="BK19" i="2"/>
  <c r="AZ13" i="1"/>
  <c r="BI42" i="3"/>
  <c r="BJ40" i="3"/>
  <c r="BE9" i="24"/>
  <c r="BF5" i="24"/>
  <c r="AW16" i="20"/>
  <c r="AX5" i="3"/>
  <c r="AW8" i="3"/>
  <c r="AW71" i="20" s="1"/>
  <c r="BL22" i="2"/>
  <c r="BL13" i="2"/>
  <c r="BL12" i="2"/>
  <c r="BL18" i="2"/>
  <c r="BL20" i="2"/>
  <c r="BL21" i="2"/>
  <c r="BL17" i="2"/>
  <c r="BL23" i="2"/>
  <c r="BL16" i="2"/>
  <c r="BL14" i="2"/>
  <c r="BN69" i="3"/>
  <c r="BM18" i="24"/>
  <c r="BM19" i="24" s="1"/>
  <c r="BN9" i="2"/>
  <c r="BN64" i="3"/>
  <c r="BH30" i="3"/>
  <c r="BI29" i="3"/>
  <c r="BK15" i="2"/>
  <c r="BA10" i="1"/>
  <c r="BA13" i="1" s="1"/>
  <c r="BB6" i="1"/>
  <c r="AV11" i="3"/>
  <c r="AV15" i="3" s="1"/>
  <c r="AW9" i="3"/>
  <c r="AW21" i="3"/>
  <c r="AX18" i="3"/>
  <c r="AW19" i="3"/>
  <c r="BE66" i="20"/>
  <c r="AO43" i="3"/>
  <c r="AP43" i="3" s="1"/>
  <c r="AU53" i="3"/>
  <c r="AV53" i="3" s="1"/>
  <c r="AU49" i="3"/>
  <c r="AV49" i="3" s="1"/>
  <c r="AU45" i="3"/>
  <c r="AV45" i="3" s="1"/>
  <c r="BK16" i="3"/>
  <c r="AU59" i="20"/>
  <c r="AT63" i="20"/>
  <c r="AW14" i="3"/>
  <c r="AX12" i="3"/>
  <c r="BC66" i="20"/>
  <c r="BG43" i="20"/>
  <c r="AL23" i="23"/>
  <c r="C62" i="23"/>
  <c r="AO39" i="3"/>
  <c r="H52" i="22"/>
  <c r="Y51" i="22"/>
  <c r="AR33" i="20" s="1"/>
  <c r="T61" i="22"/>
  <c r="AB10" i="20"/>
  <c r="AC5" i="20"/>
  <c r="AD5" i="20"/>
  <c r="T87" i="20"/>
  <c r="T35" i="20" s="1"/>
  <c r="X29" i="22"/>
  <c r="E29" i="22"/>
  <c r="AK75" i="20"/>
  <c r="AK77" i="20" s="1"/>
  <c r="AL68" i="20"/>
  <c r="AM66" i="3"/>
  <c r="AM13" i="23" s="1"/>
  <c r="AM17" i="23" s="1"/>
  <c r="AM19" i="23" s="1"/>
  <c r="BM24" i="27" l="1"/>
  <c r="AO60" i="3"/>
  <c r="AP60" i="3" s="1"/>
  <c r="BL15" i="2"/>
  <c r="BM19" i="27"/>
  <c r="BM15" i="27"/>
  <c r="BM29" i="27" s="1"/>
  <c r="BO21" i="27"/>
  <c r="BP21" i="27" s="1"/>
  <c r="BO22" i="27"/>
  <c r="BP22" i="27" s="1"/>
  <c r="BO23" i="27"/>
  <c r="BP23" i="27" s="1"/>
  <c r="BO18" i="27"/>
  <c r="BP18" i="27" s="1"/>
  <c r="BO17" i="27"/>
  <c r="BP17" i="27" s="1"/>
  <c r="BO20" i="27"/>
  <c r="BP20" i="27" s="1"/>
  <c r="BO12" i="27"/>
  <c r="BO14" i="27"/>
  <c r="BP14" i="27" s="1"/>
  <c r="BO13" i="27"/>
  <c r="BP13" i="27" s="1"/>
  <c r="BO16" i="27"/>
  <c r="BP11" i="27"/>
  <c r="BN26" i="27"/>
  <c r="BN29" i="27" s="1"/>
  <c r="BO25" i="27"/>
  <c r="BE32" i="24"/>
  <c r="BF14" i="23" s="1"/>
  <c r="BL19" i="2"/>
  <c r="AW17" i="20"/>
  <c r="AW21" i="20" s="1"/>
  <c r="BB10" i="1"/>
  <c r="BB13" i="1" s="1"/>
  <c r="BC6" i="1"/>
  <c r="BL24" i="2"/>
  <c r="BF9" i="24"/>
  <c r="BG5" i="24"/>
  <c r="BF25" i="24"/>
  <c r="BG20" i="24"/>
  <c r="AU63" i="20"/>
  <c r="AV59" i="20"/>
  <c r="AX16" i="20"/>
  <c r="AX8" i="3"/>
  <c r="AX71" i="20" s="1"/>
  <c r="AY5" i="3"/>
  <c r="AZ16" i="1"/>
  <c r="AW22" i="3"/>
  <c r="AW24" i="3" s="1"/>
  <c r="AW53" i="3" s="1"/>
  <c r="AX14" i="3"/>
  <c r="AY12" i="3"/>
  <c r="AW11" i="3"/>
  <c r="AW15" i="3" s="1"/>
  <c r="AX9" i="3"/>
  <c r="BK29" i="2"/>
  <c r="BN11" i="2"/>
  <c r="BN26" i="2"/>
  <c r="BK40" i="3"/>
  <c r="BJ42" i="3"/>
  <c r="AV10" i="23"/>
  <c r="BL34" i="3"/>
  <c r="BH51" i="3"/>
  <c r="BI48" i="3"/>
  <c r="BL16" i="3"/>
  <c r="BO18" i="24"/>
  <c r="BN19" i="24"/>
  <c r="BO19" i="24" s="1"/>
  <c r="BA16" i="1"/>
  <c r="AX22" i="3"/>
  <c r="AX24" i="3" s="1"/>
  <c r="BG26" i="24"/>
  <c r="BF31" i="24"/>
  <c r="BN47" i="3"/>
  <c r="BO44" i="3"/>
  <c r="AX19" i="1"/>
  <c r="AX20" i="1" s="1"/>
  <c r="BP64" i="3"/>
  <c r="BL52" i="3"/>
  <c r="BK55" i="3"/>
  <c r="BM17" i="2"/>
  <c r="BM20" i="2"/>
  <c r="BM14" i="2"/>
  <c r="BM22" i="2"/>
  <c r="BM18" i="2"/>
  <c r="BM16" i="2"/>
  <c r="BM21" i="2"/>
  <c r="BM12" i="2"/>
  <c r="BM23" i="2"/>
  <c r="BM13" i="2"/>
  <c r="BH10" i="24"/>
  <c r="BG12" i="24"/>
  <c r="BJ29" i="3"/>
  <c r="BI30" i="3"/>
  <c r="AX21" i="3"/>
  <c r="AY18" i="3"/>
  <c r="AX19" i="3"/>
  <c r="AW45" i="3"/>
  <c r="AR37" i="3"/>
  <c r="AR38" i="3" s="1"/>
  <c r="AQ43" i="3"/>
  <c r="AQ39" i="3"/>
  <c r="BK31" i="3"/>
  <c r="BJ33" i="3"/>
  <c r="AY19" i="1"/>
  <c r="AY20" i="1" s="1"/>
  <c r="BP9" i="2"/>
  <c r="BO11" i="2"/>
  <c r="BO26" i="2"/>
  <c r="BH43" i="20"/>
  <c r="AM23" i="23"/>
  <c r="C63" i="23"/>
  <c r="AP39" i="3"/>
  <c r="AN66" i="3"/>
  <c r="AN13" i="23" s="1"/>
  <c r="AN17" i="23" s="1"/>
  <c r="AN19" i="23" s="1"/>
  <c r="W52" i="22"/>
  <c r="I52" i="22"/>
  <c r="J52" i="22" s="1"/>
  <c r="R62" i="22"/>
  <c r="AB23" i="20"/>
  <c r="AC23" i="20" s="1"/>
  <c r="D5" i="28" s="1"/>
  <c r="AC10" i="20"/>
  <c r="D4" i="28" s="1"/>
  <c r="AE5" i="20"/>
  <c r="AD10" i="20"/>
  <c r="AD23" i="20" s="1"/>
  <c r="T89" i="20"/>
  <c r="T45" i="20" s="1"/>
  <c r="T50" i="20" s="1"/>
  <c r="Y29" i="22"/>
  <c r="T33" i="20" s="1"/>
  <c r="T38" i="20" s="1"/>
  <c r="T40" i="20" s="1"/>
  <c r="C30" i="22"/>
  <c r="AL75" i="20"/>
  <c r="AL77" i="20" s="1"/>
  <c r="AM68" i="20"/>
  <c r="BO15" i="27" l="1"/>
  <c r="BP15" i="27" s="1"/>
  <c r="BP12" i="27"/>
  <c r="BM19" i="2"/>
  <c r="BO19" i="27"/>
  <c r="BP19" i="27" s="1"/>
  <c r="BP16" i="27"/>
  <c r="BO24" i="27"/>
  <c r="BP24" i="27" s="1"/>
  <c r="BO26" i="27"/>
  <c r="BP25" i="27"/>
  <c r="BF66" i="20"/>
  <c r="BF32" i="24"/>
  <c r="BM15" i="2"/>
  <c r="BL29" i="2"/>
  <c r="BP26" i="2"/>
  <c r="AW49" i="3"/>
  <c r="AW25" i="3"/>
  <c r="AW26" i="3" s="1"/>
  <c r="BL28" i="20"/>
  <c r="BL30" i="20" s="1"/>
  <c r="AX17" i="20"/>
  <c r="AX21" i="20" s="1"/>
  <c r="AZ18" i="3"/>
  <c r="AY21" i="3"/>
  <c r="AY19" i="3"/>
  <c r="BO23" i="2"/>
  <c r="BO16" i="2"/>
  <c r="BO13" i="2"/>
  <c r="BO17" i="2"/>
  <c r="BO21" i="2"/>
  <c r="BO14" i="2"/>
  <c r="BO22" i="2"/>
  <c r="BO20" i="2"/>
  <c r="BO18" i="2"/>
  <c r="BP18" i="2" s="1"/>
  <c r="BO12" i="2"/>
  <c r="BP11" i="2"/>
  <c r="BL31" i="3"/>
  <c r="BK33" i="3"/>
  <c r="BM24" i="2"/>
  <c r="AQ60" i="3"/>
  <c r="AX11" i="3"/>
  <c r="AX15" i="3" s="1"/>
  <c r="AY9" i="3"/>
  <c r="AX49" i="3"/>
  <c r="AX53" i="3"/>
  <c r="BG25" i="24"/>
  <c r="BH20" i="24"/>
  <c r="AY14" i="3"/>
  <c r="AZ12" i="3"/>
  <c r="AX25" i="3"/>
  <c r="AX26" i="3" s="1"/>
  <c r="BL55" i="3"/>
  <c r="BM52" i="3"/>
  <c r="AW16" i="23"/>
  <c r="AU73" i="20"/>
  <c r="AV73" i="20" s="1"/>
  <c r="BH26" i="24"/>
  <c r="BG31" i="24"/>
  <c r="BA18" i="1"/>
  <c r="AX7" i="20"/>
  <c r="AY8" i="23"/>
  <c r="AY10" i="23" s="1"/>
  <c r="BM16" i="3"/>
  <c r="BI51" i="3"/>
  <c r="BJ48" i="3"/>
  <c r="BN22" i="2"/>
  <c r="BN21" i="2"/>
  <c r="BN12" i="2"/>
  <c r="BN13" i="2"/>
  <c r="BN20" i="2"/>
  <c r="BN17" i="2"/>
  <c r="BN18" i="2"/>
  <c r="BN23" i="2"/>
  <c r="BN16" i="2"/>
  <c r="BN14" i="2"/>
  <c r="AY16" i="20"/>
  <c r="AY8" i="3"/>
  <c r="AY71" i="20" s="1"/>
  <c r="AZ5" i="3"/>
  <c r="AV63" i="20"/>
  <c r="AW59" i="20"/>
  <c r="BG9" i="24"/>
  <c r="BH5" i="24"/>
  <c r="BB16" i="1"/>
  <c r="AY22" i="3"/>
  <c r="AY24" i="3" s="1"/>
  <c r="AY53" i="3" s="1"/>
  <c r="BH12" i="24"/>
  <c r="BI10" i="24"/>
  <c r="BM34" i="3"/>
  <c r="AZ18" i="1"/>
  <c r="AX8" i="23"/>
  <c r="AW7" i="20"/>
  <c r="BC10" i="1"/>
  <c r="BC13" i="1" s="1"/>
  <c r="BD6" i="1"/>
  <c r="AR43" i="3"/>
  <c r="AS37" i="3"/>
  <c r="AS38" i="3" s="1"/>
  <c r="AR39" i="3"/>
  <c r="BJ30" i="3"/>
  <c r="BK29" i="3"/>
  <c r="AX45" i="3"/>
  <c r="BO47" i="3"/>
  <c r="BP47" i="3" s="1"/>
  <c r="BP44" i="3"/>
  <c r="BL40" i="3"/>
  <c r="BK42" i="3"/>
  <c r="BK28" i="20"/>
  <c r="BK30" i="20" s="1"/>
  <c r="BI43" i="20"/>
  <c r="AN23" i="23"/>
  <c r="C64" i="23"/>
  <c r="X52" i="22"/>
  <c r="S62" i="22"/>
  <c r="T52" i="20"/>
  <c r="T54" i="20" s="1"/>
  <c r="AE10" i="20"/>
  <c r="AE23" i="20" s="1"/>
  <c r="AF5" i="20"/>
  <c r="AF10" i="20" s="1"/>
  <c r="AF23" i="20" s="1"/>
  <c r="D30" i="22"/>
  <c r="W30" i="22"/>
  <c r="U81" i="20" s="1"/>
  <c r="U83" i="20" s="1"/>
  <c r="U85" i="20" s="1"/>
  <c r="AM75" i="20"/>
  <c r="AM77" i="20" s="1"/>
  <c r="AN68" i="20"/>
  <c r="AR60" i="3" l="1"/>
  <c r="AR66" i="3" s="1"/>
  <c r="AR13" i="23" s="1"/>
  <c r="AR17" i="23" s="1"/>
  <c r="AR19" i="23" s="1"/>
  <c r="BP21" i="2"/>
  <c r="BO29" i="27"/>
  <c r="BP29" i="27" s="1"/>
  <c r="BP26" i="27"/>
  <c r="BG14" i="23"/>
  <c r="BG32" i="24"/>
  <c r="BH14" i="23" s="1"/>
  <c r="BG66" i="20"/>
  <c r="AY45" i="3"/>
  <c r="BM29" i="2"/>
  <c r="BM28" i="20" s="1"/>
  <c r="BM30" i="20" s="1"/>
  <c r="AY17" i="20"/>
  <c r="AY21" i="20" s="1"/>
  <c r="AX10" i="23"/>
  <c r="AZ16" i="20"/>
  <c r="AZ8" i="3"/>
  <c r="AZ71" i="20" s="1"/>
  <c r="BA5" i="3"/>
  <c r="BA18" i="3"/>
  <c r="AZ21" i="3"/>
  <c r="AZ25" i="3" s="1"/>
  <c r="AZ19" i="3"/>
  <c r="BC16" i="1"/>
  <c r="AZ22" i="3"/>
  <c r="AZ24" i="3" s="1"/>
  <c r="AZ53" i="3" s="1"/>
  <c r="AZ45" i="3"/>
  <c r="AW63" i="20"/>
  <c r="AX59" i="20"/>
  <c r="BL42" i="3"/>
  <c r="BM40" i="3"/>
  <c r="BK30" i="3"/>
  <c r="BL29" i="3"/>
  <c r="BN34" i="3"/>
  <c r="AY7" i="20"/>
  <c r="AZ8" i="23"/>
  <c r="AZ10" i="23" s="1"/>
  <c r="BB18" i="1"/>
  <c r="BN19" i="2"/>
  <c r="BP16" i="2"/>
  <c r="BN24" i="2"/>
  <c r="BN16" i="3"/>
  <c r="BM55" i="3"/>
  <c r="BN52" i="3"/>
  <c r="BM31" i="3"/>
  <c r="BL33" i="3"/>
  <c r="BO15" i="2"/>
  <c r="BP12" i="2"/>
  <c r="BP14" i="2"/>
  <c r="BO19" i="2"/>
  <c r="AY25" i="3"/>
  <c r="AY26" i="3" s="1"/>
  <c r="BE6" i="1"/>
  <c r="BD10" i="1"/>
  <c r="BD13" i="1" s="1"/>
  <c r="BI12" i="24"/>
  <c r="BJ10" i="24"/>
  <c r="BK48" i="3"/>
  <c r="BJ51" i="3"/>
  <c r="BI26" i="24"/>
  <c r="BH31" i="24"/>
  <c r="C67" i="23"/>
  <c r="AR23" i="23"/>
  <c r="AZ19" i="1"/>
  <c r="AZ20" i="1" s="1"/>
  <c r="AW73" i="20" s="1"/>
  <c r="BN15" i="2"/>
  <c r="BH25" i="24"/>
  <c r="BI20" i="24"/>
  <c r="AY49" i="3"/>
  <c r="AZ49" i="3" s="1"/>
  <c r="BO24" i="2"/>
  <c r="BP20" i="2"/>
  <c r="BP17" i="2"/>
  <c r="BH9" i="24"/>
  <c r="BI5" i="24"/>
  <c r="BP23" i="2"/>
  <c r="AS43" i="3"/>
  <c r="AT37" i="3"/>
  <c r="AT38" i="3" s="1"/>
  <c r="AS39" i="3"/>
  <c r="BA19" i="1"/>
  <c r="BA20" i="1"/>
  <c r="BA12" i="3"/>
  <c r="AZ14" i="3"/>
  <c r="AY11" i="3"/>
  <c r="AY15" i="3" s="1"/>
  <c r="AZ9" i="3"/>
  <c r="AQ66" i="3"/>
  <c r="BP22" i="2"/>
  <c r="BP13" i="2"/>
  <c r="BJ43" i="20"/>
  <c r="H53" i="22"/>
  <c r="Y52" i="22"/>
  <c r="AS33" i="20" s="1"/>
  <c r="T62" i="22"/>
  <c r="U87" i="20"/>
  <c r="U35" i="20" s="1"/>
  <c r="X30" i="22"/>
  <c r="E30" i="22"/>
  <c r="AN75" i="20"/>
  <c r="AN77" i="20" s="1"/>
  <c r="AO66" i="3"/>
  <c r="AP66" i="3" s="1"/>
  <c r="D9" i="26" s="1"/>
  <c r="AZ26" i="3" l="1"/>
  <c r="BP24" i="2"/>
  <c r="BH66" i="20"/>
  <c r="BH32" i="24"/>
  <c r="BI14" i="23" s="1"/>
  <c r="AS60" i="3"/>
  <c r="AS66" i="3" s="1"/>
  <c r="AS13" i="23" s="1"/>
  <c r="AS17" i="23" s="1"/>
  <c r="AS19" i="23" s="1"/>
  <c r="C68" i="23" s="1"/>
  <c r="AZ17" i="20"/>
  <c r="AZ21" i="20" s="1"/>
  <c r="BA14" i="3"/>
  <c r="BB12" i="3"/>
  <c r="BI9" i="24"/>
  <c r="BJ5" i="24"/>
  <c r="AQ13" i="23"/>
  <c r="AQ68" i="20"/>
  <c r="BI25" i="24"/>
  <c r="BJ20" i="24"/>
  <c r="BD16" i="1"/>
  <c r="BA22" i="3"/>
  <c r="BA24" i="3" s="1"/>
  <c r="BA53" i="3" s="1"/>
  <c r="BM33" i="3"/>
  <c r="BN31" i="3"/>
  <c r="BB19" i="1"/>
  <c r="BB20" i="1" s="1"/>
  <c r="BO34" i="3"/>
  <c r="D21" i="26"/>
  <c r="D22" i="26" s="1"/>
  <c r="D25" i="26" s="1"/>
  <c r="D26" i="26" s="1"/>
  <c r="D11" i="26"/>
  <c r="D12" i="26" s="1"/>
  <c r="BG6" i="1"/>
  <c r="BE10" i="1"/>
  <c r="BF6" i="1"/>
  <c r="AX73" i="20"/>
  <c r="BJ12" i="24"/>
  <c r="BK10" i="24"/>
  <c r="BP15" i="2"/>
  <c r="BO29" i="2"/>
  <c r="BO16" i="3"/>
  <c r="BA21" i="3"/>
  <c r="BB18" i="3"/>
  <c r="BA19" i="3"/>
  <c r="BK51" i="3"/>
  <c r="BL48" i="3"/>
  <c r="BL30" i="3"/>
  <c r="BM29" i="3"/>
  <c r="AY59" i="20"/>
  <c r="AX63" i="20"/>
  <c r="AZ11" i="3"/>
  <c r="AZ15" i="3" s="1"/>
  <c r="BA9" i="3"/>
  <c r="AT43" i="3"/>
  <c r="AU37" i="3"/>
  <c r="AU38" i="3" s="1"/>
  <c r="AT39" i="3"/>
  <c r="BN29" i="2"/>
  <c r="AY16" i="23"/>
  <c r="BI31" i="24"/>
  <c r="BJ26" i="24"/>
  <c r="BP19" i="2"/>
  <c r="BN55" i="3"/>
  <c r="BO52" i="3"/>
  <c r="BN40" i="3"/>
  <c r="BM42" i="3"/>
  <c r="BC18" i="1"/>
  <c r="BA8" i="23"/>
  <c r="BA10" i="23" s="1"/>
  <c r="AZ7" i="20"/>
  <c r="BA16" i="20"/>
  <c r="BA8" i="3"/>
  <c r="BA71" i="20" s="1"/>
  <c r="BB5" i="3"/>
  <c r="BK43" i="20"/>
  <c r="I53" i="22"/>
  <c r="J53" i="22" s="1"/>
  <c r="W53" i="22"/>
  <c r="R63" i="22"/>
  <c r="U89" i="20"/>
  <c r="U45" i="20" s="1"/>
  <c r="U50" i="20" s="1"/>
  <c r="Y30" i="22"/>
  <c r="U33" i="20" s="1"/>
  <c r="U38" i="20" s="1"/>
  <c r="U40" i="20" s="1"/>
  <c r="C31" i="22"/>
  <c r="AO13" i="23"/>
  <c r="AP13" i="23" s="1"/>
  <c r="AO68" i="20"/>
  <c r="BA49" i="3" l="1"/>
  <c r="AT60" i="3"/>
  <c r="AT66" i="3" s="1"/>
  <c r="AT13" i="23" s="1"/>
  <c r="BA45" i="3"/>
  <c r="BI66" i="20"/>
  <c r="BI32" i="24"/>
  <c r="BJ14" i="23" s="1"/>
  <c r="AS23" i="23"/>
  <c r="BA17" i="20"/>
  <c r="BA21" i="20" s="1"/>
  <c r="BP52" i="3"/>
  <c r="BO55" i="3"/>
  <c r="BP55" i="3" s="1"/>
  <c r="BL51" i="3"/>
  <c r="BM48" i="3"/>
  <c r="BD5" i="3"/>
  <c r="BB16" i="20"/>
  <c r="BB8" i="3"/>
  <c r="BC8" i="3" s="1"/>
  <c r="BC5" i="3"/>
  <c r="BO40" i="3"/>
  <c r="BN42" i="3"/>
  <c r="BO28" i="20"/>
  <c r="BP29" i="2"/>
  <c r="AY73" i="20"/>
  <c r="BB9" i="3"/>
  <c r="BA11" i="3"/>
  <c r="BA15" i="3" s="1"/>
  <c r="BM30" i="3"/>
  <c r="BN29" i="3"/>
  <c r="BA25" i="3"/>
  <c r="BA26" i="3" s="1"/>
  <c r="BG10" i="1"/>
  <c r="BH6" i="1"/>
  <c r="BO31" i="3"/>
  <c r="BN33" i="3"/>
  <c r="BJ25" i="24"/>
  <c r="BK20" i="24"/>
  <c r="AQ17" i="23"/>
  <c r="AQ19" i="23" s="1"/>
  <c r="BC19" i="1"/>
  <c r="BC20" i="1" s="1"/>
  <c r="BA16" i="23" s="1"/>
  <c r="BN28" i="20"/>
  <c r="BN30" i="20" s="1"/>
  <c r="AV37" i="3"/>
  <c r="AV38" i="3" s="1"/>
  <c r="AU43" i="3"/>
  <c r="AU39" i="3"/>
  <c r="BP16" i="3"/>
  <c r="BK12" i="24"/>
  <c r="BL10" i="24"/>
  <c r="BP34" i="3"/>
  <c r="BJ9" i="24"/>
  <c r="BK5" i="24"/>
  <c r="BK26" i="24"/>
  <c r="BJ31" i="24"/>
  <c r="BJ32" i="24" s="1"/>
  <c r="BK14" i="23" s="1"/>
  <c r="AZ59" i="20"/>
  <c r="AY63" i="20"/>
  <c r="BD18" i="3"/>
  <c r="BB21" i="3"/>
  <c r="BC21" i="3" s="1"/>
  <c r="BC18" i="3"/>
  <c r="BB19" i="3"/>
  <c r="BC19" i="3" s="1"/>
  <c r="BE13" i="1"/>
  <c r="BF10" i="1"/>
  <c r="E3" i="26" s="1"/>
  <c r="E6" i="26" s="1"/>
  <c r="E16" i="26" s="1"/>
  <c r="BD18" i="1"/>
  <c r="BB8" i="23"/>
  <c r="BA7" i="20"/>
  <c r="AR68" i="20"/>
  <c r="AQ75" i="20"/>
  <c r="AQ77" i="20" s="1"/>
  <c r="BD12" i="3"/>
  <c r="BB14" i="3"/>
  <c r="BC14" i="3" s="1"/>
  <c r="BC12" i="3"/>
  <c r="BL43" i="20"/>
  <c r="H54" i="22"/>
  <c r="X53" i="22"/>
  <c r="S63" i="22"/>
  <c r="W63" i="22"/>
  <c r="U52" i="20"/>
  <c r="U54" i="20" s="1"/>
  <c r="W31" i="22"/>
  <c r="V81" i="20" s="1"/>
  <c r="V83" i="20" s="1"/>
  <c r="V85" i="20" s="1"/>
  <c r="V87" i="20" s="1"/>
  <c r="D31" i="22"/>
  <c r="AO17" i="23"/>
  <c r="AO19" i="23" s="1"/>
  <c r="C65" i="23" s="1"/>
  <c r="AO75" i="20"/>
  <c r="AP68" i="20"/>
  <c r="BJ66" i="20" l="1"/>
  <c r="BK66" i="20" s="1"/>
  <c r="AZ73" i="20"/>
  <c r="AU60" i="3"/>
  <c r="AU66" i="3" s="1"/>
  <c r="AU13" i="23" s="1"/>
  <c r="AU17" i="23" s="1"/>
  <c r="AU19" i="23" s="1"/>
  <c r="AU23" i="23" s="1"/>
  <c r="AV43" i="3"/>
  <c r="AW37" i="3"/>
  <c r="AW38" i="3" s="1"/>
  <c r="AV39" i="3"/>
  <c r="BD9" i="3"/>
  <c r="BB11" i="3"/>
  <c r="BC9" i="3"/>
  <c r="BP40" i="3"/>
  <c r="BO42" i="3"/>
  <c r="BP42" i="3" s="1"/>
  <c r="BD14" i="3"/>
  <c r="BE12" i="3"/>
  <c r="BL12" i="24"/>
  <c r="BM10" i="24"/>
  <c r="BD19" i="1"/>
  <c r="BD20" i="1" s="1"/>
  <c r="AZ63" i="20"/>
  <c r="BA59" i="20"/>
  <c r="C66" i="23"/>
  <c r="AQ23" i="23"/>
  <c r="BG13" i="1"/>
  <c r="BC16" i="20"/>
  <c r="AS68" i="20"/>
  <c r="AR75" i="20"/>
  <c r="AR77" i="20" s="1"/>
  <c r="BP31" i="3"/>
  <c r="BO33" i="3"/>
  <c r="BP33" i="3" s="1"/>
  <c r="BB22" i="3"/>
  <c r="BE16" i="1"/>
  <c r="BF13" i="1"/>
  <c r="BD21" i="3"/>
  <c r="BE18" i="3"/>
  <c r="BD19" i="3"/>
  <c r="BK31" i="24"/>
  <c r="BL26" i="24"/>
  <c r="BL20" i="24"/>
  <c r="BK25" i="24"/>
  <c r="BN30" i="3"/>
  <c r="BO29" i="3"/>
  <c r="BM51" i="3"/>
  <c r="BN48" i="3"/>
  <c r="BD8" i="3"/>
  <c r="BD71" i="20" s="1"/>
  <c r="BD16" i="20"/>
  <c r="BE5" i="3"/>
  <c r="BB10" i="23"/>
  <c r="BC8" i="23"/>
  <c r="BC10" i="23" s="1"/>
  <c r="BK9" i="24"/>
  <c r="BL5" i="24"/>
  <c r="BI6" i="1"/>
  <c r="BH10" i="1"/>
  <c r="BH13" i="1" s="1"/>
  <c r="BP28" i="20"/>
  <c r="BO30" i="20"/>
  <c r="BP30" i="20" s="1"/>
  <c r="BB71" i="20"/>
  <c r="BM43" i="20"/>
  <c r="AO23" i="23"/>
  <c r="I54" i="22"/>
  <c r="W54" i="22"/>
  <c r="Y53" i="22"/>
  <c r="AT33" i="20" s="1"/>
  <c r="T63" i="22"/>
  <c r="X63" i="22"/>
  <c r="E31" i="22"/>
  <c r="X31" i="22"/>
  <c r="V89" i="20"/>
  <c r="V45" i="20" s="1"/>
  <c r="V50" i="20" s="1"/>
  <c r="V35" i="20"/>
  <c r="AO77" i="20"/>
  <c r="AP77" i="20" s="1"/>
  <c r="AP75" i="20"/>
  <c r="E12" i="28" s="1"/>
  <c r="G7" i="25" l="1"/>
  <c r="E6" i="28"/>
  <c r="BK32" i="24"/>
  <c r="BL14" i="23" s="1"/>
  <c r="C70" i="23"/>
  <c r="AV60" i="3"/>
  <c r="AV66" i="3" s="1"/>
  <c r="AV13" i="23" s="1"/>
  <c r="BA73" i="20"/>
  <c r="BJ6" i="1"/>
  <c r="BI10" i="1"/>
  <c r="BL31" i="24"/>
  <c r="BM26" i="24"/>
  <c r="BL25" i="24"/>
  <c r="BM20" i="24"/>
  <c r="BB7" i="20"/>
  <c r="BC7" i="20" s="1"/>
  <c r="BD8" i="23"/>
  <c r="BE18" i="1"/>
  <c r="BF16" i="1"/>
  <c r="BB15" i="3"/>
  <c r="BC11" i="3"/>
  <c r="BF12" i="3"/>
  <c r="BE14" i="3"/>
  <c r="AX37" i="3"/>
  <c r="AX38" i="3" s="1"/>
  <c r="AW43" i="3"/>
  <c r="AW39" i="3"/>
  <c r="BC71" i="20"/>
  <c r="BB17" i="20"/>
  <c r="BE22" i="3"/>
  <c r="BE24" i="3" s="1"/>
  <c r="BH16" i="1"/>
  <c r="BL9" i="24"/>
  <c r="BM5" i="24"/>
  <c r="BE16" i="20"/>
  <c r="BE8" i="3"/>
  <c r="BE71" i="20" s="1"/>
  <c r="BF5" i="3"/>
  <c r="BN51" i="3"/>
  <c r="BO48" i="3"/>
  <c r="BO30" i="3"/>
  <c r="BP29" i="3"/>
  <c r="BE21" i="3"/>
  <c r="BF18" i="3"/>
  <c r="BE19" i="3"/>
  <c r="BB24" i="3"/>
  <c r="BC22" i="3"/>
  <c r="AT68" i="20"/>
  <c r="AS75" i="20"/>
  <c r="AS77" i="20" s="1"/>
  <c r="BD22" i="3"/>
  <c r="BD24" i="3" s="1"/>
  <c r="BG16" i="1"/>
  <c r="BB59" i="20"/>
  <c r="BA63" i="20"/>
  <c r="BM12" i="24"/>
  <c r="BN10" i="24"/>
  <c r="BD69" i="3"/>
  <c r="BE9" i="3"/>
  <c r="BD11" i="3"/>
  <c r="G22" i="25"/>
  <c r="G10" i="25"/>
  <c r="E10" i="28" s="1"/>
  <c r="BN43" i="20"/>
  <c r="X54" i="22"/>
  <c r="J54" i="22"/>
  <c r="R64" i="22"/>
  <c r="Y63" i="22"/>
  <c r="BE33" i="20" s="1"/>
  <c r="Y31" i="22"/>
  <c r="V33" i="20" s="1"/>
  <c r="V38" i="20" s="1"/>
  <c r="V40" i="20" s="1"/>
  <c r="V52" i="20" s="1"/>
  <c r="V54" i="20" s="1"/>
  <c r="C32" i="22"/>
  <c r="BE25" i="3" l="1"/>
  <c r="BL66" i="20"/>
  <c r="BL32" i="24"/>
  <c r="BM14" i="23" s="1"/>
  <c r="BD53" i="3"/>
  <c r="BE53" i="3" s="1"/>
  <c r="BD25" i="3"/>
  <c r="BD26" i="3" s="1"/>
  <c r="BC24" i="3"/>
  <c r="BB25" i="3"/>
  <c r="BB49" i="3"/>
  <c r="BB45" i="3"/>
  <c r="BB53" i="3"/>
  <c r="BC53" i="3" s="1"/>
  <c r="BF16" i="20"/>
  <c r="BG5" i="3"/>
  <c r="BF8" i="3"/>
  <c r="BF71" i="20" s="1"/>
  <c r="E10" i="26"/>
  <c r="H8" i="25"/>
  <c r="BD10" i="23"/>
  <c r="BO10" i="24"/>
  <c r="BN12" i="24"/>
  <c r="AU68" i="20"/>
  <c r="AT75" i="20"/>
  <c r="AT77" i="20" s="1"/>
  <c r="BG18" i="3"/>
  <c r="BF21" i="3"/>
  <c r="BF19" i="3"/>
  <c r="BP48" i="3"/>
  <c r="BO51" i="3"/>
  <c r="BP51" i="3" s="1"/>
  <c r="BD15" i="3"/>
  <c r="BE8" i="23"/>
  <c r="BE10" i="23" s="1"/>
  <c r="BD59" i="20"/>
  <c r="BD7" i="20"/>
  <c r="BG18" i="1"/>
  <c r="BM9" i="24"/>
  <c r="BN5" i="24"/>
  <c r="BE17" i="20"/>
  <c r="BD17" i="20"/>
  <c r="BD21" i="20" s="1"/>
  <c r="BC17" i="20"/>
  <c r="BB21" i="20"/>
  <c r="BC21" i="20" s="1"/>
  <c r="AW60" i="3"/>
  <c r="BG12" i="3"/>
  <c r="BF14" i="3"/>
  <c r="BE19" i="1"/>
  <c r="BF19" i="1" s="1"/>
  <c r="BF18" i="1"/>
  <c r="BJ10" i="1"/>
  <c r="BJ13" i="1" s="1"/>
  <c r="BK6" i="1"/>
  <c r="BE69" i="3"/>
  <c r="BP69" i="3" s="1"/>
  <c r="BE11" i="3"/>
  <c r="BE15" i="3" s="1"/>
  <c r="BF9" i="3"/>
  <c r="BP30" i="3"/>
  <c r="BE7" i="20"/>
  <c r="BF8" i="23"/>
  <c r="BF10" i="23" s="1"/>
  <c r="BH18" i="1"/>
  <c r="AX43" i="3"/>
  <c r="AY37" i="3"/>
  <c r="AY38" i="3" s="1"/>
  <c r="AX39" i="3"/>
  <c r="BC15" i="3"/>
  <c r="BM31" i="24"/>
  <c r="BN26" i="24"/>
  <c r="BN31" i="24" s="1"/>
  <c r="BC59" i="20"/>
  <c r="BB63" i="20"/>
  <c r="BE21" i="20"/>
  <c r="BE26" i="3"/>
  <c r="BM25" i="24"/>
  <c r="BN20" i="24"/>
  <c r="AV17" i="23"/>
  <c r="AV19" i="23" s="1"/>
  <c r="BI13" i="1"/>
  <c r="BO43" i="20"/>
  <c r="H55" i="22"/>
  <c r="Y54" i="22"/>
  <c r="AU33" i="20" s="1"/>
  <c r="S64" i="22"/>
  <c r="W64" i="22"/>
  <c r="D32" i="22"/>
  <c r="W32" i="22"/>
  <c r="W81" i="20" s="1"/>
  <c r="W83" i="20" s="1"/>
  <c r="W85" i="20" s="1"/>
  <c r="W87" i="20" s="1"/>
  <c r="BE20" i="1" l="1"/>
  <c r="BB73" i="20" s="1"/>
  <c r="BC73" i="20" s="1"/>
  <c r="BM66" i="20"/>
  <c r="BM32" i="24"/>
  <c r="BN14" i="23" s="1"/>
  <c r="BO31" i="24"/>
  <c r="AX60" i="3"/>
  <c r="AX66" i="3" s="1"/>
  <c r="AX13" i="23" s="1"/>
  <c r="AX17" i="23" s="1"/>
  <c r="AX19" i="23" s="1"/>
  <c r="C73" i="23" s="1"/>
  <c r="BF17" i="20"/>
  <c r="BN9" i="24"/>
  <c r="BO9" i="24" s="1"/>
  <c r="BO5" i="24"/>
  <c r="AV68" i="20"/>
  <c r="AU75" i="20"/>
  <c r="AU77" i="20" s="1"/>
  <c r="BC45" i="3"/>
  <c r="BD45" i="3"/>
  <c r="BE45" i="3" s="1"/>
  <c r="C71" i="23"/>
  <c r="AV23" i="23"/>
  <c r="BO20" i="24"/>
  <c r="BN25" i="24"/>
  <c r="BO25" i="24" s="1"/>
  <c r="BC63" i="20"/>
  <c r="BH19" i="1"/>
  <c r="BH20" i="1" s="1"/>
  <c r="BI16" i="1"/>
  <c r="BF22" i="3"/>
  <c r="BF24" i="3" s="1"/>
  <c r="BF53" i="3" s="1"/>
  <c r="BF11" i="3"/>
  <c r="BF15" i="3" s="1"/>
  <c r="BG9" i="3"/>
  <c r="BJ16" i="1"/>
  <c r="BG22" i="3"/>
  <c r="BG24" i="3" s="1"/>
  <c r="BG19" i="1"/>
  <c r="BG20" i="1" s="1"/>
  <c r="BH12" i="3"/>
  <c r="BG14" i="3"/>
  <c r="BF20" i="1"/>
  <c r="AW66" i="3"/>
  <c r="BD63" i="20"/>
  <c r="BE59" i="20"/>
  <c r="BN32" i="24"/>
  <c r="BO32" i="24" s="1"/>
  <c r="BO12" i="24"/>
  <c r="BG16" i="20"/>
  <c r="BH5" i="3"/>
  <c r="BG8" i="3"/>
  <c r="BG71" i="20" s="1"/>
  <c r="BC49" i="3"/>
  <c r="BD49" i="3"/>
  <c r="BE49" i="3" s="1"/>
  <c r="AZ37" i="3"/>
  <c r="AZ38" i="3" s="1"/>
  <c r="AY43" i="3"/>
  <c r="AY39" i="3"/>
  <c r="BK10" i="1"/>
  <c r="BL6" i="1"/>
  <c r="BH18" i="3"/>
  <c r="BG21" i="3"/>
  <c r="BG19" i="3"/>
  <c r="BF21" i="20"/>
  <c r="BB26" i="3"/>
  <c r="BC25" i="3"/>
  <c r="BP43" i="20"/>
  <c r="I55" i="22"/>
  <c r="J55" i="22" s="1"/>
  <c r="W55" i="22"/>
  <c r="T64" i="22"/>
  <c r="X64" i="22"/>
  <c r="W89" i="20"/>
  <c r="W45" i="20" s="1"/>
  <c r="W50" i="20" s="1"/>
  <c r="W35" i="20"/>
  <c r="X32" i="22"/>
  <c r="E32" i="22"/>
  <c r="BF25" i="3" l="1"/>
  <c r="BF26" i="3" s="1"/>
  <c r="BD16" i="23"/>
  <c r="G16" i="25"/>
  <c r="F11" i="28"/>
  <c r="BN66" i="20"/>
  <c r="BO66" i="20" s="1"/>
  <c r="AX23" i="23"/>
  <c r="BG25" i="3"/>
  <c r="BG26" i="3" s="1"/>
  <c r="AY60" i="3"/>
  <c r="AY66" i="3" s="1"/>
  <c r="AY13" i="23" s="1"/>
  <c r="AY17" i="23" s="1"/>
  <c r="AY19" i="23" s="1"/>
  <c r="AY23" i="23" s="1"/>
  <c r="BF49" i="3"/>
  <c r="BG49" i="3" s="1"/>
  <c r="BF45" i="3"/>
  <c r="BG17" i="20"/>
  <c r="BG21" i="20" s="1"/>
  <c r="BK13" i="1"/>
  <c r="F8" i="26"/>
  <c r="BO14" i="23"/>
  <c r="BP14" i="23" s="1"/>
  <c r="BE63" i="20"/>
  <c r="BF59" i="20"/>
  <c r="BD73" i="20"/>
  <c r="BE73" i="20" s="1"/>
  <c r="BF16" i="23"/>
  <c r="BG11" i="3"/>
  <c r="BH9" i="3"/>
  <c r="BI18" i="1"/>
  <c r="BF7" i="20"/>
  <c r="BG8" i="23"/>
  <c r="AW68" i="20"/>
  <c r="AV75" i="20"/>
  <c r="AV77" i="20" s="1"/>
  <c r="BC26" i="3"/>
  <c r="BH21" i="3"/>
  <c r="BI18" i="3"/>
  <c r="BH19" i="3"/>
  <c r="BM6" i="1"/>
  <c r="BL10" i="1"/>
  <c r="BL13" i="1" s="1"/>
  <c r="AZ43" i="3"/>
  <c r="BA37" i="3"/>
  <c r="BA38" i="3" s="1"/>
  <c r="AZ39" i="3"/>
  <c r="AW13" i="23"/>
  <c r="BJ18" i="1"/>
  <c r="BJ19" i="1" s="1"/>
  <c r="BJ20" i="1" s="1"/>
  <c r="BH8" i="23"/>
  <c r="BH10" i="23" s="1"/>
  <c r="BG7" i="20"/>
  <c r="BG53" i="3"/>
  <c r="C74" i="23"/>
  <c r="BH16" i="20"/>
  <c r="BI5" i="3"/>
  <c r="BH8" i="3"/>
  <c r="BH71" i="20" s="1"/>
  <c r="BG45" i="3"/>
  <c r="G20" i="25"/>
  <c r="G24" i="25" s="1"/>
  <c r="BI12" i="3"/>
  <c r="BH14" i="3"/>
  <c r="X55" i="22"/>
  <c r="R65" i="22"/>
  <c r="Y64" i="22"/>
  <c r="BF33" i="20" s="1"/>
  <c r="Y32" i="22"/>
  <c r="W33" i="20" s="1"/>
  <c r="W38" i="20" s="1"/>
  <c r="W40" i="20" s="1"/>
  <c r="W52" i="20" s="1"/>
  <c r="W54" i="20" s="1"/>
  <c r="C33" i="22"/>
  <c r="AZ60" i="3" l="1"/>
  <c r="AZ66" i="3" s="1"/>
  <c r="AZ13" i="23" s="1"/>
  <c r="AZ17" i="23" s="1"/>
  <c r="AZ19" i="23" s="1"/>
  <c r="AZ23" i="23" s="1"/>
  <c r="BH17" i="20"/>
  <c r="BH21" i="20" s="1"/>
  <c r="AW17" i="23"/>
  <c r="AW19" i="23" s="1"/>
  <c r="BA43" i="3"/>
  <c r="BB37" i="3"/>
  <c r="BA39" i="3"/>
  <c r="BI16" i="20"/>
  <c r="BI8" i="3"/>
  <c r="BI71" i="20" s="1"/>
  <c r="BJ5" i="3"/>
  <c r="BG10" i="23"/>
  <c r="BG15" i="3"/>
  <c r="BK16" i="1"/>
  <c r="BH22" i="3"/>
  <c r="BH24" i="3" s="1"/>
  <c r="BH25" i="3" s="1"/>
  <c r="BH26" i="3" s="1"/>
  <c r="BJ18" i="3"/>
  <c r="BI21" i="3"/>
  <c r="BI19" i="3"/>
  <c r="BN6" i="1"/>
  <c r="BM10" i="1"/>
  <c r="BM13" i="1" s="1"/>
  <c r="AX68" i="20"/>
  <c r="AW75" i="20"/>
  <c r="AW77" i="20" s="1"/>
  <c r="BI19" i="1"/>
  <c r="BI20" i="1" s="1"/>
  <c r="F24" i="26"/>
  <c r="BP66" i="20"/>
  <c r="BI22" i="3"/>
  <c r="BI24" i="3" s="1"/>
  <c r="BL16" i="1"/>
  <c r="BJ12" i="3"/>
  <c r="BI14" i="3"/>
  <c r="BI9" i="3"/>
  <c r="BH11" i="3"/>
  <c r="BH15" i="3" s="1"/>
  <c r="BF63" i="20"/>
  <c r="BG59" i="20"/>
  <c r="Y55" i="22"/>
  <c r="AV33" i="20" s="1"/>
  <c r="H56" i="22"/>
  <c r="S65" i="22"/>
  <c r="W65" i="22"/>
  <c r="D33" i="22"/>
  <c r="W33" i="22"/>
  <c r="X81" i="20" s="1"/>
  <c r="X83" i="20" s="1"/>
  <c r="X85" i="20" s="1"/>
  <c r="BH45" i="3" l="1"/>
  <c r="BI45" i="3" s="1"/>
  <c r="C75" i="23"/>
  <c r="BH16" i="23"/>
  <c r="BF73" i="20"/>
  <c r="BG73" i="20" s="1"/>
  <c r="BI17" i="20"/>
  <c r="BI21" i="20" s="1"/>
  <c r="BI11" i="3"/>
  <c r="BI15" i="3" s="1"/>
  <c r="BJ9" i="3"/>
  <c r="AY68" i="20"/>
  <c r="AX75" i="20"/>
  <c r="AX77" i="20" s="1"/>
  <c r="BH59" i="20"/>
  <c r="BG63" i="20"/>
  <c r="BI7" i="20"/>
  <c r="BJ8" i="23"/>
  <c r="BJ10" i="23" s="1"/>
  <c r="BL18" i="1"/>
  <c r="BL19" i="1" s="1"/>
  <c r="BL20" i="1" s="1"/>
  <c r="BM16" i="1"/>
  <c r="BJ22" i="3"/>
  <c r="BJ24" i="3" s="1"/>
  <c r="BJ53" i="3" s="1"/>
  <c r="BJ21" i="3"/>
  <c r="BJ25" i="3" s="1"/>
  <c r="BJ26" i="3" s="1"/>
  <c r="BK18" i="3"/>
  <c r="BJ19" i="3"/>
  <c r="BO6" i="1"/>
  <c r="BN10" i="1"/>
  <c r="BA60" i="3"/>
  <c r="BA66" i="3" s="1"/>
  <c r="BA13" i="23" s="1"/>
  <c r="C72" i="23"/>
  <c r="AW23" i="23"/>
  <c r="BB38" i="3"/>
  <c r="BC37" i="3"/>
  <c r="BI25" i="3"/>
  <c r="BI26" i="3" s="1"/>
  <c r="BH53" i="3"/>
  <c r="BI53" i="3" s="1"/>
  <c r="BH49" i="3"/>
  <c r="BI49" i="3" s="1"/>
  <c r="BJ16" i="20"/>
  <c r="BK5" i="3"/>
  <c r="BJ8" i="3"/>
  <c r="BJ71" i="20" s="1"/>
  <c r="BJ14" i="3"/>
  <c r="BK12" i="3"/>
  <c r="BK18" i="1"/>
  <c r="BI8" i="23"/>
  <c r="BH7" i="20"/>
  <c r="I56" i="22"/>
  <c r="J56" i="22" s="1"/>
  <c r="W56" i="22"/>
  <c r="T65" i="22"/>
  <c r="X65" i="22"/>
  <c r="X87" i="20"/>
  <c r="X35" i="20" s="1"/>
  <c r="X33" i="22"/>
  <c r="E33" i="22"/>
  <c r="BK19" i="1" l="1"/>
  <c r="BK20" i="1" s="1"/>
  <c r="BK21" i="3"/>
  <c r="BL18" i="3"/>
  <c r="BK19" i="3"/>
  <c r="BJ17" i="20"/>
  <c r="BK14" i="3"/>
  <c r="BL12" i="3"/>
  <c r="BI10" i="23"/>
  <c r="BJ49" i="3"/>
  <c r="BD37" i="3"/>
  <c r="BD38" i="3" s="1"/>
  <c r="BC38" i="3"/>
  <c r="BB43" i="3"/>
  <c r="BC43" i="3" s="1"/>
  <c r="BB39" i="3"/>
  <c r="BM18" i="1"/>
  <c r="BJ7" i="20"/>
  <c r="BK8" i="23"/>
  <c r="BK10" i="23" s="1"/>
  <c r="BJ21" i="20"/>
  <c r="BP6" i="1"/>
  <c r="BO10" i="1"/>
  <c r="BO13" i="1" s="1"/>
  <c r="BH63" i="20"/>
  <c r="BI59" i="20"/>
  <c r="BK9" i="3"/>
  <c r="BJ11" i="3"/>
  <c r="BJ15" i="3" s="1"/>
  <c r="BK16" i="20"/>
  <c r="BK8" i="3"/>
  <c r="BK71" i="20" s="1"/>
  <c r="BL5" i="3"/>
  <c r="BN13" i="1"/>
  <c r="AZ68" i="20"/>
  <c r="AY75" i="20"/>
  <c r="AY77" i="20" s="1"/>
  <c r="BA17" i="23"/>
  <c r="BA19" i="23" s="1"/>
  <c r="BJ45" i="3"/>
  <c r="X56" i="22"/>
  <c r="R66" i="22"/>
  <c r="Y65" i="22"/>
  <c r="BG33" i="20" s="1"/>
  <c r="X89" i="20"/>
  <c r="X45" i="20" s="1"/>
  <c r="X50" i="20" s="1"/>
  <c r="Y33" i="22"/>
  <c r="X33" i="20" s="1"/>
  <c r="X38" i="20" s="1"/>
  <c r="X40" i="20" s="1"/>
  <c r="C34" i="22"/>
  <c r="BJ16" i="23" l="1"/>
  <c r="BH73" i="20"/>
  <c r="BI73" i="20" s="1"/>
  <c r="BA68" i="20"/>
  <c r="AZ75" i="20"/>
  <c r="AZ77" i="20" s="1"/>
  <c r="BK11" i="3"/>
  <c r="BK15" i="3" s="1"/>
  <c r="BL9" i="3"/>
  <c r="BQ6" i="1"/>
  <c r="BP10" i="1"/>
  <c r="BP13" i="1" s="1"/>
  <c r="BM19" i="1"/>
  <c r="BM20" i="1" s="1"/>
  <c r="BB60" i="3"/>
  <c r="BC39" i="3"/>
  <c r="BL14" i="3"/>
  <c r="BM12" i="3"/>
  <c r="BJ59" i="20"/>
  <c r="BI63" i="20"/>
  <c r="BD39" i="3"/>
  <c r="BD43" i="3"/>
  <c r="BE37" i="3"/>
  <c r="BE38" i="3" s="1"/>
  <c r="BK17" i="20"/>
  <c r="BK21" i="20" s="1"/>
  <c r="C76" i="23"/>
  <c r="BA23" i="23"/>
  <c r="BN16" i="1"/>
  <c r="BK22" i="3"/>
  <c r="BK24" i="3" s="1"/>
  <c r="BK53" i="3" s="1"/>
  <c r="BL16" i="20"/>
  <c r="BM5" i="3"/>
  <c r="BL8" i="3"/>
  <c r="BL71" i="20" s="1"/>
  <c r="BL22" i="3"/>
  <c r="BL24" i="3" s="1"/>
  <c r="BL53" i="3" s="1"/>
  <c r="BO16" i="1"/>
  <c r="BM18" i="3"/>
  <c r="BL21" i="3"/>
  <c r="BL19" i="3"/>
  <c r="H57" i="22"/>
  <c r="Y56" i="22"/>
  <c r="AW33" i="20" s="1"/>
  <c r="S66" i="22"/>
  <c r="W66" i="22"/>
  <c r="X52" i="20"/>
  <c r="X54" i="20" s="1"/>
  <c r="D34" i="22"/>
  <c r="W34" i="22"/>
  <c r="Y81" i="20" s="1"/>
  <c r="Y83" i="20" s="1"/>
  <c r="Y85" i="20" s="1"/>
  <c r="BL25" i="3" l="1"/>
  <c r="BJ73" i="20"/>
  <c r="BM8" i="23"/>
  <c r="BM10" i="23" s="1"/>
  <c r="BL7" i="20"/>
  <c r="BO18" i="1"/>
  <c r="BM16" i="20"/>
  <c r="BM8" i="3"/>
  <c r="BM71" i="20" s="1"/>
  <c r="BN5" i="3"/>
  <c r="BL17" i="20"/>
  <c r="BN18" i="3"/>
  <c r="BM21" i="3"/>
  <c r="BM19" i="3"/>
  <c r="BD60" i="3"/>
  <c r="BN12" i="3"/>
  <c r="BM14" i="3"/>
  <c r="BC60" i="3"/>
  <c r="BB66" i="3"/>
  <c r="BB68" i="20" s="1"/>
  <c r="BL21" i="20"/>
  <c r="BF37" i="3"/>
  <c r="BF38" i="3" s="1"/>
  <c r="BE43" i="3"/>
  <c r="BE39" i="3"/>
  <c r="BJ63" i="20"/>
  <c r="BK59" i="20"/>
  <c r="BK49" i="3"/>
  <c r="BL49" i="3" s="1"/>
  <c r="BK25" i="3"/>
  <c r="BK26" i="3" s="1"/>
  <c r="BR6" i="1"/>
  <c r="BQ10" i="1"/>
  <c r="BQ13" i="1" s="1"/>
  <c r="BA75" i="20"/>
  <c r="BA77" i="20" s="1"/>
  <c r="BN18" i="1"/>
  <c r="BL8" i="23"/>
  <c r="BK7" i="20"/>
  <c r="BP16" i="1"/>
  <c r="BM22" i="3"/>
  <c r="BM24" i="3" s="1"/>
  <c r="BM53" i="3" s="1"/>
  <c r="BL26" i="3"/>
  <c r="BM9" i="3"/>
  <c r="BL11" i="3"/>
  <c r="BL15" i="3" s="1"/>
  <c r="BK45" i="3"/>
  <c r="BL45" i="3" s="1"/>
  <c r="BM45" i="3" s="1"/>
  <c r="I57" i="22"/>
  <c r="J57" i="22" s="1"/>
  <c r="W57" i="22"/>
  <c r="X66" i="22"/>
  <c r="T66" i="22"/>
  <c r="Y87" i="20"/>
  <c r="Y35" i="20" s="1"/>
  <c r="X34" i="22"/>
  <c r="E34" i="22"/>
  <c r="BM49" i="3" l="1"/>
  <c r="BM17" i="20"/>
  <c r="BM21" i="20" s="1"/>
  <c r="BC68" i="20"/>
  <c r="BB75" i="20"/>
  <c r="BE60" i="3"/>
  <c r="BE66" i="3" s="1"/>
  <c r="BE13" i="23" s="1"/>
  <c r="BE17" i="23" s="1"/>
  <c r="BE19" i="23" s="1"/>
  <c r="BB13" i="23"/>
  <c r="BC66" i="3"/>
  <c r="E9" i="26" s="1"/>
  <c r="BD66" i="3"/>
  <c r="BN21" i="3"/>
  <c r="BO18" i="3"/>
  <c r="BN19" i="3"/>
  <c r="BN16" i="20"/>
  <c r="BN8" i="3"/>
  <c r="BN71" i="20" s="1"/>
  <c r="BO5" i="3"/>
  <c r="BL10" i="23"/>
  <c r="BQ16" i="1"/>
  <c r="BN22" i="3"/>
  <c r="BN24" i="3" s="1"/>
  <c r="BN53" i="3" s="1"/>
  <c r="BL59" i="20"/>
  <c r="BK63" i="20"/>
  <c r="BF43" i="3"/>
  <c r="BG37" i="3"/>
  <c r="BG38" i="3" s="1"/>
  <c r="BF39" i="3"/>
  <c r="BM11" i="3"/>
  <c r="BM15" i="3" s="1"/>
  <c r="BN9" i="3"/>
  <c r="BP18" i="1"/>
  <c r="BM7" i="20"/>
  <c r="BN8" i="23"/>
  <c r="BN10" i="23" s="1"/>
  <c r="BN19" i="1"/>
  <c r="BN20" i="1" s="1"/>
  <c r="BR10" i="1"/>
  <c r="BS6" i="1"/>
  <c r="BN14" i="3"/>
  <c r="BO12" i="3"/>
  <c r="BM25" i="3"/>
  <c r="BM26" i="3" s="1"/>
  <c r="BO19" i="1"/>
  <c r="BO20" i="1" s="1"/>
  <c r="X57" i="22"/>
  <c r="R67" i="22"/>
  <c r="Y66" i="22"/>
  <c r="BH33" i="20" s="1"/>
  <c r="Y89" i="20"/>
  <c r="Y45" i="20" s="1"/>
  <c r="Y50" i="20" s="1"/>
  <c r="Y34" i="22"/>
  <c r="Y33" i="20" s="1"/>
  <c r="Y38" i="20" s="1"/>
  <c r="Y40" i="20" s="1"/>
  <c r="C35" i="22"/>
  <c r="BN25" i="3" l="1"/>
  <c r="BN26" i="3" s="1"/>
  <c r="BN45" i="3"/>
  <c r="BN17" i="20"/>
  <c r="BN21" i="20" s="1"/>
  <c r="BL16" i="23"/>
  <c r="BK73" i="20"/>
  <c r="BL73" i="20" s="1"/>
  <c r="BR13" i="1"/>
  <c r="BS10" i="1"/>
  <c r="F3" i="26" s="1"/>
  <c r="F6" i="26" s="1"/>
  <c r="F16" i="26" s="1"/>
  <c r="BO9" i="3"/>
  <c r="BN11" i="3"/>
  <c r="BN15" i="3" s="1"/>
  <c r="BO16" i="20"/>
  <c r="BP5" i="3"/>
  <c r="BO8" i="3"/>
  <c r="BP8" i="3" s="1"/>
  <c r="BP18" i="3"/>
  <c r="BO21" i="3"/>
  <c r="BP21" i="3" s="1"/>
  <c r="BO19" i="3"/>
  <c r="BP19" i="3" s="1"/>
  <c r="E21" i="26"/>
  <c r="E22" i="26" s="1"/>
  <c r="E25" i="26" s="1"/>
  <c r="E26" i="26" s="1"/>
  <c r="E11" i="26"/>
  <c r="E12" i="26" s="1"/>
  <c r="BO14" i="3"/>
  <c r="BP14" i="3" s="1"/>
  <c r="BP12" i="3"/>
  <c r="BD13" i="23"/>
  <c r="BD17" i="23" s="1"/>
  <c r="BD19" i="23" s="1"/>
  <c r="BD68" i="20"/>
  <c r="C79" i="23"/>
  <c r="BE23" i="23"/>
  <c r="BF60" i="3"/>
  <c r="BF66" i="3" s="1"/>
  <c r="BF13" i="23" s="1"/>
  <c r="BF17" i="23" s="1"/>
  <c r="BF19" i="23" s="1"/>
  <c r="BL63" i="20"/>
  <c r="BM59" i="20"/>
  <c r="BB17" i="23"/>
  <c r="BB19" i="23" s="1"/>
  <c r="BC13" i="23"/>
  <c r="BH37" i="3"/>
  <c r="BH38" i="3" s="1"/>
  <c r="BG43" i="3"/>
  <c r="BG39" i="3"/>
  <c r="BP19" i="1"/>
  <c r="BP20" i="1" s="1"/>
  <c r="BN16" i="23" s="1"/>
  <c r="BQ18" i="1"/>
  <c r="BN7" i="20"/>
  <c r="BO8" i="23"/>
  <c r="BN49" i="3"/>
  <c r="BC75" i="20"/>
  <c r="F12" i="28" s="1"/>
  <c r="BB77" i="20"/>
  <c r="BC77" i="20" s="1"/>
  <c r="Y57" i="22"/>
  <c r="AX33" i="20" s="1"/>
  <c r="H58" i="22"/>
  <c r="S67" i="22"/>
  <c r="W67" i="22"/>
  <c r="Y52" i="20"/>
  <c r="Y54" i="20" s="1"/>
  <c r="D35" i="22"/>
  <c r="W35" i="22"/>
  <c r="Z81" i="20" s="1"/>
  <c r="Z83" i="20" s="1"/>
  <c r="Z85" i="20" s="1"/>
  <c r="Z87" i="20" s="1"/>
  <c r="H7" i="25" l="1"/>
  <c r="F6" i="28"/>
  <c r="BG60" i="3"/>
  <c r="BP9" i="3"/>
  <c r="BO11" i="3"/>
  <c r="BM73" i="20"/>
  <c r="C80" i="23"/>
  <c r="BF23" i="23"/>
  <c r="BI37" i="3"/>
  <c r="BI38" i="3" s="1"/>
  <c r="BH43" i="3"/>
  <c r="BH39" i="3"/>
  <c r="C78" i="23"/>
  <c r="BD23" i="23"/>
  <c r="BP16" i="20"/>
  <c r="BQ19" i="1"/>
  <c r="BQ20" i="1" s="1"/>
  <c r="C77" i="23"/>
  <c r="BB23" i="23"/>
  <c r="BE68" i="20"/>
  <c r="BD75" i="20"/>
  <c r="BD77" i="20" s="1"/>
  <c r="BN59" i="20"/>
  <c r="BM63" i="20"/>
  <c r="H22" i="25"/>
  <c r="H10" i="25"/>
  <c r="F10" i="28" s="1"/>
  <c r="BO10" i="23"/>
  <c r="BP8" i="23"/>
  <c r="BP10" i="23" s="1"/>
  <c r="BO22" i="3"/>
  <c r="BR16" i="1"/>
  <c r="BS13" i="1"/>
  <c r="BO71" i="20"/>
  <c r="I58" i="22"/>
  <c r="J58" i="22" s="1"/>
  <c r="W58" i="22"/>
  <c r="X67" i="22"/>
  <c r="T67" i="22"/>
  <c r="Z89" i="20"/>
  <c r="Z45" i="20" s="1"/>
  <c r="Z50" i="20" s="1"/>
  <c r="Z35" i="20"/>
  <c r="X35" i="22"/>
  <c r="E35" i="22"/>
  <c r="BH60" i="3" l="1"/>
  <c r="BH66" i="3" s="1"/>
  <c r="BH13" i="23" s="1"/>
  <c r="BH17" i="23" s="1"/>
  <c r="BH19" i="23" s="1"/>
  <c r="BN63" i="20"/>
  <c r="BO59" i="20"/>
  <c r="BF68" i="20"/>
  <c r="BE75" i="20"/>
  <c r="BE77" i="20" s="1"/>
  <c r="BO7" i="20"/>
  <c r="BP7" i="20" s="1"/>
  <c r="BR18" i="1"/>
  <c r="BS16" i="1"/>
  <c r="BP22" i="3"/>
  <c r="BO24" i="3"/>
  <c r="BN73" i="20"/>
  <c r="C82" i="23"/>
  <c r="BH23" i="23"/>
  <c r="BP71" i="20"/>
  <c r="BO17" i="20"/>
  <c r="BI43" i="3"/>
  <c r="BJ37" i="3"/>
  <c r="BJ38" i="3" s="1"/>
  <c r="BI39" i="3"/>
  <c r="BO15" i="3"/>
  <c r="BP11" i="3"/>
  <c r="BG66" i="3"/>
  <c r="X58" i="22"/>
  <c r="R68" i="22"/>
  <c r="Y67" i="22"/>
  <c r="BI33" i="20" s="1"/>
  <c r="Y35" i="22"/>
  <c r="Z33" i="20" s="1"/>
  <c r="Z38" i="20" s="1"/>
  <c r="Z40" i="20" s="1"/>
  <c r="Z52" i="20" s="1"/>
  <c r="Z54" i="20" s="1"/>
  <c r="C36" i="22"/>
  <c r="BI60" i="3" l="1"/>
  <c r="BI66" i="3" s="1"/>
  <c r="BI13" i="23" s="1"/>
  <c r="BI17" i="23" s="1"/>
  <c r="BI19" i="23" s="1"/>
  <c r="C83" i="23" s="1"/>
  <c r="BP15" i="3"/>
  <c r="BP17" i="20"/>
  <c r="BO21" i="20"/>
  <c r="BP21" i="20" s="1"/>
  <c r="BG68" i="20"/>
  <c r="BF75" i="20"/>
  <c r="BF77" i="20" s="1"/>
  <c r="BR19" i="1"/>
  <c r="BS19" i="1" s="1"/>
  <c r="BS18" i="1"/>
  <c r="BP59" i="20"/>
  <c r="BO63" i="20"/>
  <c r="F10" i="26"/>
  <c r="I8" i="25"/>
  <c r="BG13" i="23"/>
  <c r="BK37" i="3"/>
  <c r="BK38" i="3" s="1"/>
  <c r="BJ43" i="3"/>
  <c r="BJ39" i="3"/>
  <c r="BP24" i="3"/>
  <c r="BO25" i="3"/>
  <c r="BO45" i="3"/>
  <c r="BP45" i="3" s="1"/>
  <c r="BO53" i="3"/>
  <c r="BP53" i="3" s="1"/>
  <c r="BO49" i="3"/>
  <c r="BP49" i="3" s="1"/>
  <c r="Y58" i="22"/>
  <c r="AY33" i="20" s="1"/>
  <c r="H59" i="22"/>
  <c r="S68" i="22"/>
  <c r="W68" i="22"/>
  <c r="W36" i="22"/>
  <c r="AA81" i="20" s="1"/>
  <c r="AA83" i="20" s="1"/>
  <c r="AA85" i="20" s="1"/>
  <c r="D36" i="22"/>
  <c r="BI23" i="23" l="1"/>
  <c r="BP63" i="20"/>
  <c r="BP25" i="3"/>
  <c r="BO26" i="3"/>
  <c r="BK43" i="3"/>
  <c r="BL37" i="3"/>
  <c r="BL38" i="3" s="1"/>
  <c r="BK39" i="3"/>
  <c r="BH68" i="20"/>
  <c r="BG75" i="20"/>
  <c r="BG77" i="20" s="1"/>
  <c r="BJ60" i="3"/>
  <c r="BR20" i="1"/>
  <c r="I59" i="22"/>
  <c r="J59" i="22" s="1"/>
  <c r="W59" i="22"/>
  <c r="X68" i="22"/>
  <c r="T68" i="22"/>
  <c r="E36" i="22"/>
  <c r="X36" i="22"/>
  <c r="AA87" i="20"/>
  <c r="AA35" i="20" s="1"/>
  <c r="H16" i="25" l="1"/>
  <c r="G11" i="28"/>
  <c r="BK60" i="3"/>
  <c r="BK66" i="3" s="1"/>
  <c r="BK13" i="23" s="1"/>
  <c r="BK17" i="23" s="1"/>
  <c r="BK19" i="23" s="1"/>
  <c r="BK23" i="23" s="1"/>
  <c r="BI68" i="20"/>
  <c r="BH75" i="20"/>
  <c r="BH77" i="20" s="1"/>
  <c r="BP26" i="3"/>
  <c r="BL43" i="3"/>
  <c r="BM37" i="3"/>
  <c r="BM38" i="3" s="1"/>
  <c r="BL39" i="3"/>
  <c r="BS20" i="1"/>
  <c r="BO73" i="20"/>
  <c r="BP73" i="20" s="1"/>
  <c r="BJ66" i="3"/>
  <c r="I17" i="25"/>
  <c r="H20" i="25"/>
  <c r="H24" i="25" s="1"/>
  <c r="X59" i="22"/>
  <c r="AA89" i="20"/>
  <c r="AA45" i="20" s="1"/>
  <c r="AA50" i="20" s="1"/>
  <c r="R69" i="22"/>
  <c r="Y68" i="22"/>
  <c r="BJ33" i="20" s="1"/>
  <c r="Y36" i="22"/>
  <c r="AA33" i="20" s="1"/>
  <c r="AA38" i="20" s="1"/>
  <c r="AA40" i="20" s="1"/>
  <c r="C37" i="22"/>
  <c r="C85" i="23" l="1"/>
  <c r="BJ13" i="23"/>
  <c r="BJ17" i="23" s="1"/>
  <c r="BJ19" i="23" s="1"/>
  <c r="BN37" i="3"/>
  <c r="BN38" i="3" s="1"/>
  <c r="BM43" i="3"/>
  <c r="BM39" i="3"/>
  <c r="BL60" i="3"/>
  <c r="BJ68" i="20"/>
  <c r="BI75" i="20"/>
  <c r="BI77" i="20" s="1"/>
  <c r="H60" i="22"/>
  <c r="Y59" i="22"/>
  <c r="AZ33" i="20" s="1"/>
  <c r="AA52" i="20"/>
  <c r="AA54" i="20" s="1"/>
  <c r="S69" i="22"/>
  <c r="W69" i="22"/>
  <c r="D37" i="22"/>
  <c r="W37" i="22"/>
  <c r="AB81" i="20" s="1"/>
  <c r="BM60" i="3" l="1"/>
  <c r="BM66" i="3" s="1"/>
  <c r="BM13" i="23" s="1"/>
  <c r="BM17" i="23" s="1"/>
  <c r="BM19" i="23" s="1"/>
  <c r="C87" i="23" s="1"/>
  <c r="BK68" i="20"/>
  <c r="BJ75" i="20"/>
  <c r="BJ77" i="20" s="1"/>
  <c r="BO37" i="3"/>
  <c r="BN43" i="3"/>
  <c r="BN39" i="3"/>
  <c r="BL66" i="3"/>
  <c r="C84" i="23"/>
  <c r="BJ23" i="23"/>
  <c r="W60" i="22"/>
  <c r="I60" i="22"/>
  <c r="J60" i="22" s="1"/>
  <c r="X69" i="22"/>
  <c r="T69" i="22"/>
  <c r="AB83" i="20"/>
  <c r="AC81" i="20"/>
  <c r="X37" i="22"/>
  <c r="E37" i="22"/>
  <c r="BM23" i="23" l="1"/>
  <c r="BL13" i="23"/>
  <c r="BL17" i="23" s="1"/>
  <c r="BL19" i="23" s="1"/>
  <c r="BO38" i="3"/>
  <c r="BP37" i="3"/>
  <c r="BN60" i="3"/>
  <c r="BN66" i="3" s="1"/>
  <c r="BN13" i="23" s="1"/>
  <c r="BN17" i="23" s="1"/>
  <c r="BN19" i="23" s="1"/>
  <c r="BL68" i="20"/>
  <c r="BK75" i="20"/>
  <c r="BK77" i="20" s="1"/>
  <c r="X60" i="22"/>
  <c r="Y69" i="22"/>
  <c r="BK33" i="20" s="1"/>
  <c r="R70" i="22"/>
  <c r="Y37" i="22"/>
  <c r="AB33" i="20" s="1"/>
  <c r="C38" i="22"/>
  <c r="AB85" i="20"/>
  <c r="AC83" i="20"/>
  <c r="C88" i="23" l="1"/>
  <c r="BN23" i="23"/>
  <c r="BM68" i="20"/>
  <c r="BL75" i="20"/>
  <c r="BL77" i="20" s="1"/>
  <c r="BO43" i="3"/>
  <c r="BP43" i="3" s="1"/>
  <c r="BP38" i="3"/>
  <c r="BO39" i="3"/>
  <c r="C86" i="23"/>
  <c r="BL23" i="23"/>
  <c r="H61" i="22"/>
  <c r="Y60" i="22"/>
  <c r="BA33" i="20" s="1"/>
  <c r="S70" i="22"/>
  <c r="W70" i="22"/>
  <c r="AB87" i="20"/>
  <c r="AB89" i="20" s="1"/>
  <c r="AC85" i="20"/>
  <c r="D38" i="22"/>
  <c r="W38" i="22"/>
  <c r="AD81" i="20" s="1"/>
  <c r="AD83" i="20" s="1"/>
  <c r="AD85" i="20" s="1"/>
  <c r="AC33" i="20"/>
  <c r="BN68" i="20" l="1"/>
  <c r="BM75" i="20"/>
  <c r="BM77" i="20" s="1"/>
  <c r="BO60" i="3"/>
  <c r="BP39" i="3"/>
  <c r="I61" i="22"/>
  <c r="J61" i="22" s="1"/>
  <c r="W61" i="22"/>
  <c r="X70" i="22"/>
  <c r="T70" i="22"/>
  <c r="AC89" i="20"/>
  <c r="AB45" i="20"/>
  <c r="AD87" i="20"/>
  <c r="AD89" i="20" s="1"/>
  <c r="AD45" i="20" s="1"/>
  <c r="X38" i="22"/>
  <c r="E38" i="22"/>
  <c r="AB35" i="20"/>
  <c r="AB38" i="20" s="1"/>
  <c r="AB40" i="20" s="1"/>
  <c r="AC87" i="20"/>
  <c r="AG16" i="23"/>
  <c r="D7" i="28" l="1"/>
  <c r="D8" i="28"/>
  <c r="BO66" i="3"/>
  <c r="BO68" i="20" s="1"/>
  <c r="BP60" i="3"/>
  <c r="BN75" i="20"/>
  <c r="BN77" i="20" s="1"/>
  <c r="AG17" i="23"/>
  <c r="AG19" i="23" s="1"/>
  <c r="C57" i="23" s="1"/>
  <c r="AP16" i="23"/>
  <c r="AP17" i="23" s="1"/>
  <c r="AP19" i="23" s="1"/>
  <c r="X61" i="22"/>
  <c r="Y70" i="22"/>
  <c r="BL33" i="20" s="1"/>
  <c r="R71" i="22"/>
  <c r="AC38" i="20"/>
  <c r="AC45" i="20"/>
  <c r="AD44" i="20" s="1"/>
  <c r="AD50" i="20" s="1"/>
  <c r="AB50" i="20"/>
  <c r="AC50" i="20" s="1"/>
  <c r="D9" i="28" s="1"/>
  <c r="AC35" i="20"/>
  <c r="AD35" i="20"/>
  <c r="AC40" i="20"/>
  <c r="Y38" i="22"/>
  <c r="AD33" i="20" s="1"/>
  <c r="C39" i="22"/>
  <c r="BP68" i="20" l="1"/>
  <c r="BO75" i="20"/>
  <c r="BO13" i="23"/>
  <c r="BP66" i="3"/>
  <c r="F9" i="26" s="1"/>
  <c r="AG5" i="20"/>
  <c r="AG10" i="20" s="1"/>
  <c r="AG23" i="20" s="1"/>
  <c r="AG23" i="23"/>
  <c r="H62" i="22"/>
  <c r="Y61" i="22"/>
  <c r="BB33" i="20" s="1"/>
  <c r="BC33" i="20" s="1"/>
  <c r="AE44" i="20"/>
  <c r="AF44" i="20" s="1"/>
  <c r="AG44" i="20" s="1"/>
  <c r="AH44" i="20" s="1"/>
  <c r="AI44" i="20" s="1"/>
  <c r="AJ44" i="20" s="1"/>
  <c r="AK44" i="20" s="1"/>
  <c r="AL44" i="20" s="1"/>
  <c r="AM44" i="20" s="1"/>
  <c r="AN44" i="20" s="1"/>
  <c r="S71" i="22"/>
  <c r="W71" i="22"/>
  <c r="AB52" i="20"/>
  <c r="AB54" i="20" s="1"/>
  <c r="D39" i="22"/>
  <c r="W39" i="22"/>
  <c r="AE81" i="20" s="1"/>
  <c r="AE83" i="20" s="1"/>
  <c r="AE85" i="20" s="1"/>
  <c r="F21" i="26" l="1"/>
  <c r="F22" i="26" s="1"/>
  <c r="F25" i="26" s="1"/>
  <c r="F26" i="26" s="1"/>
  <c r="F11" i="26"/>
  <c r="F12" i="26" s="1"/>
  <c r="BP75" i="20"/>
  <c r="G12" i="28" s="1"/>
  <c r="BO77" i="20"/>
  <c r="BP77" i="20" s="1"/>
  <c r="BP13" i="23"/>
  <c r="BO17" i="23"/>
  <c r="BO19" i="23" s="1"/>
  <c r="AP23" i="23"/>
  <c r="P24" i="23" s="1"/>
  <c r="AH5" i="20"/>
  <c r="AH10" i="20" s="1"/>
  <c r="AH23" i="20" s="1"/>
  <c r="I62" i="22"/>
  <c r="J62" i="22" s="1"/>
  <c r="W62" i="22"/>
  <c r="BD81" i="20" s="1"/>
  <c r="AC52" i="20"/>
  <c r="AC54" i="20" s="1"/>
  <c r="X71" i="22"/>
  <c r="T71" i="22"/>
  <c r="AE87" i="20"/>
  <c r="AE35" i="20" s="1"/>
  <c r="X39" i="22"/>
  <c r="E39" i="22"/>
  <c r="AO44" i="20"/>
  <c r="AD38" i="20"/>
  <c r="AD40" i="20" s="1"/>
  <c r="AD52" i="20" s="1"/>
  <c r="AD54" i="20" s="1"/>
  <c r="I7" i="25" l="1"/>
  <c r="G6" i="28"/>
  <c r="I22" i="25"/>
  <c r="I10" i="25"/>
  <c r="C89" i="23"/>
  <c r="BO23" i="23"/>
  <c r="BD83" i="20"/>
  <c r="BD85" i="20" s="1"/>
  <c r="BD87" i="20" s="1"/>
  <c r="BD89" i="20" s="1"/>
  <c r="BD45" i="20" s="1"/>
  <c r="BE81" i="20"/>
  <c r="AI5" i="20"/>
  <c r="AJ5" i="20" s="1"/>
  <c r="AJ10" i="20" s="1"/>
  <c r="AJ23" i="20" s="1"/>
  <c r="X62" i="22"/>
  <c r="Y62" i="22"/>
  <c r="BD33" i="20" s="1"/>
  <c r="Y71" i="22"/>
  <c r="BM33" i="20" s="1"/>
  <c r="R72" i="22"/>
  <c r="AP44" i="20"/>
  <c r="Y39" i="22"/>
  <c r="AE33" i="20" s="1"/>
  <c r="AE38" i="20" s="1"/>
  <c r="AE40" i="20" s="1"/>
  <c r="C40" i="22"/>
  <c r="AE89" i="20"/>
  <c r="AE45" i="20" s="1"/>
  <c r="AE50" i="20" s="1"/>
  <c r="I20" i="25" l="1"/>
  <c r="I24" i="25" s="1"/>
  <c r="D25" i="25" s="1"/>
  <c r="G10" i="28"/>
  <c r="BF81" i="20"/>
  <c r="BE83" i="20"/>
  <c r="BE85" i="20" s="1"/>
  <c r="BE87" i="20" s="1"/>
  <c r="BE89" i="20" s="1"/>
  <c r="BE45" i="20" s="1"/>
  <c r="AK5" i="20"/>
  <c r="AL5" i="20" s="1"/>
  <c r="AI10" i="20"/>
  <c r="AI23" i="20" s="1"/>
  <c r="S72" i="22"/>
  <c r="W72" i="22"/>
  <c r="AE52" i="20"/>
  <c r="AE54" i="20" s="1"/>
  <c r="D40" i="22"/>
  <c r="W40" i="22"/>
  <c r="AF81" i="20" s="1"/>
  <c r="AF83" i="20" s="1"/>
  <c r="AF85" i="20" s="1"/>
  <c r="AF87" i="20" s="1"/>
  <c r="AK10" i="20" l="1"/>
  <c r="AK23" i="20" s="1"/>
  <c r="BG81" i="20"/>
  <c r="BF83" i="20"/>
  <c r="BF85" i="20" s="1"/>
  <c r="BF87" i="20" s="1"/>
  <c r="BF89" i="20" s="1"/>
  <c r="BF45" i="20" s="1"/>
  <c r="X72" i="22"/>
  <c r="T72" i="22"/>
  <c r="AM5" i="20"/>
  <c r="AL10" i="20"/>
  <c r="AL23" i="20" s="1"/>
  <c r="AF89" i="20"/>
  <c r="AF45" i="20" s="1"/>
  <c r="AF50" i="20" s="1"/>
  <c r="AF35" i="20"/>
  <c r="X40" i="22"/>
  <c r="E40" i="22"/>
  <c r="BH81" i="20" l="1"/>
  <c r="BG83" i="20"/>
  <c r="BG85" i="20" s="1"/>
  <c r="BG87" i="20" s="1"/>
  <c r="BG89" i="20" s="1"/>
  <c r="BG45" i="20" s="1"/>
  <c r="Y72" i="22"/>
  <c r="BN33" i="20" s="1"/>
  <c r="R73" i="22"/>
  <c r="AM10" i="20"/>
  <c r="AM23" i="20" s="1"/>
  <c r="AN5" i="20"/>
  <c r="Y40" i="22"/>
  <c r="AF33" i="20" s="1"/>
  <c r="AF38" i="20" s="1"/>
  <c r="AF40" i="20" s="1"/>
  <c r="AF52" i="20" s="1"/>
  <c r="AF54" i="20" s="1"/>
  <c r="C41" i="22"/>
  <c r="BI81" i="20" l="1"/>
  <c r="BH83" i="20"/>
  <c r="BH85" i="20" s="1"/>
  <c r="BH87" i="20" s="1"/>
  <c r="BH89" i="20" s="1"/>
  <c r="BH45" i="20" s="1"/>
  <c r="S73" i="22"/>
  <c r="W73" i="22"/>
  <c r="AO5" i="20"/>
  <c r="AQ5" i="20" s="1"/>
  <c r="AN10" i="20"/>
  <c r="AN23" i="20" s="1"/>
  <c r="D41" i="22"/>
  <c r="W41" i="22"/>
  <c r="AG81" i="20" s="1"/>
  <c r="AG83" i="20" s="1"/>
  <c r="AG85" i="20" s="1"/>
  <c r="BJ81" i="20" l="1"/>
  <c r="BI83" i="20"/>
  <c r="BI85" i="20" s="1"/>
  <c r="BI87" i="20" s="1"/>
  <c r="BI89" i="20" s="1"/>
  <c r="BI45" i="20" s="1"/>
  <c r="AQ10" i="20"/>
  <c r="AQ23" i="20" s="1"/>
  <c r="AR5" i="20"/>
  <c r="X73" i="22"/>
  <c r="T73" i="22"/>
  <c r="AO10" i="20"/>
  <c r="AP5" i="20"/>
  <c r="X41" i="22"/>
  <c r="E41" i="22"/>
  <c r="AG87" i="20"/>
  <c r="AG35" i="20" s="1"/>
  <c r="BK81" i="20" l="1"/>
  <c r="BJ83" i="20"/>
  <c r="BJ85" i="20" s="1"/>
  <c r="BJ87" i="20" s="1"/>
  <c r="BJ89" i="20" s="1"/>
  <c r="BJ45" i="20" s="1"/>
  <c r="AS5" i="20"/>
  <c r="AR10" i="20"/>
  <c r="AR23" i="20" s="1"/>
  <c r="Y73" i="22"/>
  <c r="BO33" i="20" s="1"/>
  <c r="BP33" i="20" s="1"/>
  <c r="R74" i="22"/>
  <c r="AG89" i="20"/>
  <c r="AG45" i="20" s="1"/>
  <c r="AG50" i="20" s="1"/>
  <c r="AP10" i="20"/>
  <c r="E4" i="28" s="1"/>
  <c r="AO23" i="20"/>
  <c r="AP23" i="20" s="1"/>
  <c r="E5" i="28" s="1"/>
  <c r="Y41" i="22"/>
  <c r="AG33" i="20" s="1"/>
  <c r="AG38" i="20" s="1"/>
  <c r="AG40" i="20" s="1"/>
  <c r="C42" i="22"/>
  <c r="BL81" i="20" l="1"/>
  <c r="BK83" i="20"/>
  <c r="BK85" i="20" s="1"/>
  <c r="BK87" i="20" s="1"/>
  <c r="BK89" i="20" s="1"/>
  <c r="BK45" i="20" s="1"/>
  <c r="AS10" i="20"/>
  <c r="AS23" i="20" s="1"/>
  <c r="S74" i="22"/>
  <c r="W74" i="22"/>
  <c r="AG52" i="20"/>
  <c r="AG54" i="20" s="1"/>
  <c r="D42" i="22"/>
  <c r="W42" i="22"/>
  <c r="AH81" i="20" s="1"/>
  <c r="AH83" i="20" s="1"/>
  <c r="AH85" i="20" s="1"/>
  <c r="BM81" i="20" l="1"/>
  <c r="BL83" i="20"/>
  <c r="BL85" i="20" s="1"/>
  <c r="X74" i="22"/>
  <c r="T74" i="22"/>
  <c r="X42" i="22"/>
  <c r="E42" i="22"/>
  <c r="AH87" i="20"/>
  <c r="AH35" i="20" s="1"/>
  <c r="BN81" i="20" l="1"/>
  <c r="BM83" i="20"/>
  <c r="BM85" i="20" s="1"/>
  <c r="BM87" i="20" s="1"/>
  <c r="BM89" i="20" s="1"/>
  <c r="BM45" i="20" s="1"/>
  <c r="BL87" i="20"/>
  <c r="BL89" i="20" s="1"/>
  <c r="BL45" i="20" s="1"/>
  <c r="Y74" i="22"/>
  <c r="R75" i="22"/>
  <c r="AH89" i="20"/>
  <c r="AH45" i="20" s="1"/>
  <c r="AH50" i="20" s="1"/>
  <c r="Y42" i="22"/>
  <c r="AH33" i="20" s="1"/>
  <c r="AH38" i="20" s="1"/>
  <c r="AH40" i="20" s="1"/>
  <c r="C43" i="22"/>
  <c r="BO81" i="20" l="1"/>
  <c r="BN83" i="20"/>
  <c r="BN85" i="20" s="1"/>
  <c r="BN87" i="20" s="1"/>
  <c r="BN89" i="20" s="1"/>
  <c r="BN45" i="20" s="1"/>
  <c r="S75" i="22"/>
  <c r="W75" i="22"/>
  <c r="AH52" i="20"/>
  <c r="AH54" i="20" s="1"/>
  <c r="W43" i="22"/>
  <c r="AI81" i="20" s="1"/>
  <c r="AI83" i="20" s="1"/>
  <c r="AI85" i="20" s="1"/>
  <c r="D43" i="22"/>
  <c r="BP81" i="20" l="1"/>
  <c r="BO83" i="20"/>
  <c r="X75" i="22"/>
  <c r="T75" i="22"/>
  <c r="AI87" i="20"/>
  <c r="AI35" i="20" s="1"/>
  <c r="E43" i="22"/>
  <c r="X43" i="22"/>
  <c r="D38" i="20"/>
  <c r="D40" i="20" s="1"/>
  <c r="D89" i="20"/>
  <c r="D45" i="20" s="1"/>
  <c r="D50" i="20" s="1"/>
  <c r="BP83" i="20" l="1"/>
  <c r="BO85" i="20"/>
  <c r="Y75" i="22"/>
  <c r="R76" i="22"/>
  <c r="AI89" i="20"/>
  <c r="AI45" i="20" s="1"/>
  <c r="AI50" i="20" s="1"/>
  <c r="Y43" i="22"/>
  <c r="AI33" i="20" s="1"/>
  <c r="AI38" i="20" s="1"/>
  <c r="AI40" i="20" s="1"/>
  <c r="C44" i="22"/>
  <c r="D52" i="20"/>
  <c r="D54" i="20" s="1"/>
  <c r="BP85" i="20" l="1"/>
  <c r="BO87" i="20"/>
  <c r="BP87" i="20" s="1"/>
  <c r="S76" i="22"/>
  <c r="W76" i="22"/>
  <c r="AI52" i="20"/>
  <c r="AI54" i="20" s="1"/>
  <c r="D44" i="22"/>
  <c r="W44" i="22"/>
  <c r="AJ81" i="20" s="1"/>
  <c r="AJ83" i="20" s="1"/>
  <c r="AJ85" i="20" s="1"/>
  <c r="BO89" i="20" l="1"/>
  <c r="BP89" i="20" s="1"/>
  <c r="X76" i="22"/>
  <c r="T76" i="22"/>
  <c r="AJ87" i="20"/>
  <c r="AJ35" i="20" s="1"/>
  <c r="X44" i="22"/>
  <c r="E44" i="22"/>
  <c r="G7" i="28" l="1"/>
  <c r="BO45" i="20"/>
  <c r="BP45" i="20" s="1"/>
  <c r="Y76" i="22"/>
  <c r="R77" i="22"/>
  <c r="AJ89" i="20"/>
  <c r="AJ45" i="20" s="1"/>
  <c r="AJ50" i="20" s="1"/>
  <c r="Y44" i="22"/>
  <c r="AJ33" i="20" s="1"/>
  <c r="AJ38" i="20" s="1"/>
  <c r="AJ40" i="20" s="1"/>
  <c r="C45" i="22"/>
  <c r="S77" i="22" l="1"/>
  <c r="W77" i="22"/>
  <c r="AJ52" i="20"/>
  <c r="AJ54" i="20" s="1"/>
  <c r="W45" i="22"/>
  <c r="AK81" i="20" s="1"/>
  <c r="AK83" i="20" s="1"/>
  <c r="AK85" i="20" s="1"/>
  <c r="D45" i="22"/>
  <c r="X77" i="22" l="1"/>
  <c r="T77" i="22"/>
  <c r="E45" i="22"/>
  <c r="X45" i="22"/>
  <c r="AK87" i="20"/>
  <c r="AK35" i="20" s="1"/>
  <c r="Y77" i="22" l="1"/>
  <c r="R78" i="22"/>
  <c r="AK89" i="20"/>
  <c r="AK45" i="20" s="1"/>
  <c r="AK50" i="20" s="1"/>
  <c r="Y45" i="22"/>
  <c r="AK33" i="20" s="1"/>
  <c r="AK38" i="20" s="1"/>
  <c r="AK40" i="20" s="1"/>
  <c r="C46" i="22"/>
  <c r="S78" i="22" l="1"/>
  <c r="W78" i="22"/>
  <c r="AK52" i="20"/>
  <c r="AK54" i="20" s="1"/>
  <c r="D46" i="22"/>
  <c r="W46" i="22"/>
  <c r="AL81" i="20" s="1"/>
  <c r="AL83" i="20" s="1"/>
  <c r="AL85" i="20" s="1"/>
  <c r="X78" i="22" l="1"/>
  <c r="T78" i="22"/>
  <c r="AL87" i="20"/>
  <c r="AL35" i="20" s="1"/>
  <c r="X46" i="22"/>
  <c r="E46" i="22"/>
  <c r="Y78" i="22" l="1"/>
  <c r="R79" i="22"/>
  <c r="Y46" i="22"/>
  <c r="AL33" i="20" s="1"/>
  <c r="AL38" i="20" s="1"/>
  <c r="AL40" i="20" s="1"/>
  <c r="C47" i="22"/>
  <c r="AL89" i="20"/>
  <c r="AL45" i="20" s="1"/>
  <c r="AL50" i="20" s="1"/>
  <c r="S79" i="22" l="1"/>
  <c r="W79" i="22"/>
  <c r="D47" i="22"/>
  <c r="W47" i="22"/>
  <c r="AM81" i="20" s="1"/>
  <c r="AM83" i="20" s="1"/>
  <c r="AM85" i="20" s="1"/>
  <c r="AL52" i="20"/>
  <c r="AL54" i="20" s="1"/>
  <c r="X79" i="22" l="1"/>
  <c r="T79" i="22"/>
  <c r="Y79" i="22" s="1"/>
  <c r="X47" i="22"/>
  <c r="E47" i="22"/>
  <c r="AM87" i="20"/>
  <c r="AM35" i="20" s="1"/>
  <c r="AM89" i="20" l="1"/>
  <c r="AM45" i="20" s="1"/>
  <c r="AM50" i="20" s="1"/>
  <c r="Y47" i="22"/>
  <c r="AM33" i="20" s="1"/>
  <c r="AM38" i="20" s="1"/>
  <c r="AM40" i="20" s="1"/>
  <c r="C48" i="22"/>
  <c r="AM52" i="20" l="1"/>
  <c r="AM54" i="20" s="1"/>
  <c r="D48" i="22"/>
  <c r="W48" i="22"/>
  <c r="AN81" i="20" s="1"/>
  <c r="AN83" i="20" s="1"/>
  <c r="AN85" i="20" s="1"/>
  <c r="AN87" i="20" s="1"/>
  <c r="AN89" i="20" l="1"/>
  <c r="AN45" i="20" s="1"/>
  <c r="AN50" i="20" s="1"/>
  <c r="AN35" i="20"/>
  <c r="X48" i="22"/>
  <c r="E48" i="22"/>
  <c r="Y48" i="22" l="1"/>
  <c r="AN33" i="20" s="1"/>
  <c r="AN38" i="20" s="1"/>
  <c r="AN40" i="20" s="1"/>
  <c r="AN52" i="20" s="1"/>
  <c r="AN54" i="20" s="1"/>
  <c r="C49" i="22"/>
  <c r="W49" i="22" l="1"/>
  <c r="AO81" i="20" s="1"/>
  <c r="D49" i="22"/>
  <c r="AO83" i="20" l="1"/>
  <c r="AP81" i="20"/>
  <c r="E49" i="22"/>
  <c r="X49" i="22"/>
  <c r="AO85" i="20" l="1"/>
  <c r="AP83" i="20"/>
  <c r="Y49" i="22"/>
  <c r="AO33" i="20" s="1"/>
  <c r="C50" i="22"/>
  <c r="AO87" i="20" l="1"/>
  <c r="AT16" i="23" s="1"/>
  <c r="AP85" i="20"/>
  <c r="W50" i="22"/>
  <c r="AQ81" i="20" s="1"/>
  <c r="D50" i="22"/>
  <c r="AP33" i="20"/>
  <c r="AQ83" i="20" l="1"/>
  <c r="AQ85" i="20" s="1"/>
  <c r="AQ87" i="20" s="1"/>
  <c r="AQ89" i="20" s="1"/>
  <c r="AQ45" i="20" s="1"/>
  <c r="AR81" i="20"/>
  <c r="AT17" i="23"/>
  <c r="AT19" i="23" s="1"/>
  <c r="BC16" i="23"/>
  <c r="BC17" i="23" s="1"/>
  <c r="BC19" i="23" s="1"/>
  <c r="E50" i="22"/>
  <c r="Y50" i="22" s="1"/>
  <c r="AQ33" i="20" s="1"/>
  <c r="X50" i="22"/>
  <c r="AP87" i="20"/>
  <c r="AO35" i="20"/>
  <c r="AO89" i="20"/>
  <c r="AQ35" i="20" l="1"/>
  <c r="AQ38" i="20" s="1"/>
  <c r="AQ40" i="20" s="1"/>
  <c r="AR83" i="20"/>
  <c r="AR85" i="20" s="1"/>
  <c r="AR87" i="20" s="1"/>
  <c r="AR89" i="20" s="1"/>
  <c r="AR45" i="20" s="1"/>
  <c r="AS81" i="20"/>
  <c r="C69" i="23"/>
  <c r="AT23" i="23"/>
  <c r="BC23" i="23" s="1"/>
  <c r="AT5" i="20"/>
  <c r="AP35" i="20"/>
  <c r="AO38" i="20"/>
  <c r="AO45" i="20"/>
  <c r="AP89" i="20"/>
  <c r="E8" i="28" l="1"/>
  <c r="E7" i="28"/>
  <c r="AR35" i="20"/>
  <c r="AR38" i="20" s="1"/>
  <c r="AR40" i="20" s="1"/>
  <c r="AS83" i="20"/>
  <c r="AS85" i="20" s="1"/>
  <c r="AS87" i="20" s="1"/>
  <c r="AS89" i="20" s="1"/>
  <c r="AS45" i="20" s="1"/>
  <c r="AT81" i="20"/>
  <c r="AT10" i="20"/>
  <c r="AT23" i="20" s="1"/>
  <c r="AU5" i="20"/>
  <c r="AP45" i="20"/>
  <c r="AQ44" i="20" s="1"/>
  <c r="AO50" i="20"/>
  <c r="AP50" i="20" s="1"/>
  <c r="E9" i="28" s="1"/>
  <c r="AP38" i="20"/>
  <c r="AO40" i="20"/>
  <c r="AS35" i="20" l="1"/>
  <c r="AT83" i="20"/>
  <c r="AT85" i="20" s="1"/>
  <c r="AT87" i="20" s="1"/>
  <c r="AT89" i="20" s="1"/>
  <c r="AT45" i="20" s="1"/>
  <c r="AU81" i="20"/>
  <c r="AU10" i="20"/>
  <c r="AU23" i="20" s="1"/>
  <c r="AV5" i="20"/>
  <c r="AQ50" i="20"/>
  <c r="AQ52" i="20" s="1"/>
  <c r="AQ54" i="20" s="1"/>
  <c r="AR44" i="20"/>
  <c r="AP40" i="20"/>
  <c r="AO52" i="20"/>
  <c r="AT35" i="20" l="1"/>
  <c r="AS38" i="20"/>
  <c r="AS40" i="20" s="1"/>
  <c r="AU83" i="20"/>
  <c r="AU85" i="20" s="1"/>
  <c r="AU87" i="20" s="1"/>
  <c r="AU89" i="20" s="1"/>
  <c r="AU45" i="20" s="1"/>
  <c r="AV81" i="20"/>
  <c r="AR50" i="20"/>
  <c r="AR52" i="20" s="1"/>
  <c r="AR54" i="20" s="1"/>
  <c r="AS44" i="20"/>
  <c r="AV10" i="20"/>
  <c r="AV23" i="20" s="1"/>
  <c r="AW5" i="20"/>
  <c r="AT38" i="20"/>
  <c r="AT40" i="20" s="1"/>
  <c r="AO54" i="20"/>
  <c r="AP52" i="20"/>
  <c r="AP54" i="20" s="1"/>
  <c r="AU35" i="20" l="1"/>
  <c r="AV83" i="20"/>
  <c r="AV85" i="20" s="1"/>
  <c r="AV87" i="20" s="1"/>
  <c r="AV89" i="20" s="1"/>
  <c r="AV45" i="20" s="1"/>
  <c r="AW81" i="20"/>
  <c r="AW10" i="20"/>
  <c r="AW23" i="20" s="1"/>
  <c r="AX5" i="20"/>
  <c r="AS50" i="20"/>
  <c r="AS52" i="20" s="1"/>
  <c r="AS54" i="20" s="1"/>
  <c r="AT44" i="20"/>
  <c r="AV35" i="20" l="1"/>
  <c r="AV38" i="20" s="1"/>
  <c r="AV40" i="20" s="1"/>
  <c r="AU38" i="20"/>
  <c r="AU40" i="20" s="1"/>
  <c r="AW83" i="20"/>
  <c r="AW85" i="20" s="1"/>
  <c r="AW87" i="20" s="1"/>
  <c r="AW89" i="20" s="1"/>
  <c r="AW45" i="20" s="1"/>
  <c r="AX81" i="20"/>
  <c r="AT50" i="20"/>
  <c r="AT52" i="20" s="1"/>
  <c r="AT54" i="20" s="1"/>
  <c r="AU44" i="20"/>
  <c r="AY5" i="20"/>
  <c r="AX10" i="20"/>
  <c r="AX23" i="20" s="1"/>
  <c r="AW35" i="20" l="1"/>
  <c r="AX83" i="20"/>
  <c r="AX85" i="20" s="1"/>
  <c r="AX87" i="20" s="1"/>
  <c r="AX89" i="20" s="1"/>
  <c r="AX45" i="20" s="1"/>
  <c r="AY81" i="20"/>
  <c r="AY10" i="20"/>
  <c r="AY23" i="20" s="1"/>
  <c r="AZ5" i="20"/>
  <c r="AU50" i="20"/>
  <c r="AU52" i="20" s="1"/>
  <c r="AU54" i="20" s="1"/>
  <c r="AV44" i="20"/>
  <c r="AX35" i="20" l="1"/>
  <c r="AX38" i="20" s="1"/>
  <c r="AX40" i="20" s="1"/>
  <c r="AW38" i="20"/>
  <c r="AW40" i="20" s="1"/>
  <c r="AY83" i="20"/>
  <c r="AY85" i="20" s="1"/>
  <c r="AY87" i="20" s="1"/>
  <c r="AY89" i="20" s="1"/>
  <c r="AY45" i="20" s="1"/>
  <c r="AZ81" i="20"/>
  <c r="AV50" i="20"/>
  <c r="AV52" i="20" s="1"/>
  <c r="AV54" i="20" s="1"/>
  <c r="AW44" i="20"/>
  <c r="BA5" i="20"/>
  <c r="AZ10" i="20"/>
  <c r="AZ23" i="20" s="1"/>
  <c r="AY35" i="20" l="1"/>
  <c r="AZ83" i="20"/>
  <c r="AZ85" i="20" s="1"/>
  <c r="AZ87" i="20" s="1"/>
  <c r="AZ89" i="20" s="1"/>
  <c r="AZ45" i="20" s="1"/>
  <c r="BA81" i="20"/>
  <c r="AW50" i="20"/>
  <c r="AW52" i="20" s="1"/>
  <c r="AW54" i="20" s="1"/>
  <c r="AX44" i="20"/>
  <c r="BA10" i="20"/>
  <c r="BA23" i="20" s="1"/>
  <c r="BB5" i="20"/>
  <c r="AZ35" i="20" l="1"/>
  <c r="AZ38" i="20" s="1"/>
  <c r="AZ40" i="20" s="1"/>
  <c r="AY38" i="20"/>
  <c r="AY40" i="20" s="1"/>
  <c r="BA83" i="20"/>
  <c r="BA85" i="20" s="1"/>
  <c r="BA87" i="20" s="1"/>
  <c r="BA89" i="20" s="1"/>
  <c r="BA45" i="20" s="1"/>
  <c r="BB81" i="20"/>
  <c r="BB10" i="20"/>
  <c r="BD5" i="20"/>
  <c r="BC5" i="20"/>
  <c r="AX50" i="20"/>
  <c r="AX52" i="20" s="1"/>
  <c r="AX54" i="20" s="1"/>
  <c r="AY44" i="20"/>
  <c r="BA35" i="20" l="1"/>
  <c r="BA38" i="20" s="1"/>
  <c r="BA40" i="20" s="1"/>
  <c r="BC81" i="20"/>
  <c r="BB83" i="20"/>
  <c r="BE5" i="20"/>
  <c r="BD10" i="20"/>
  <c r="BD23" i="20" s="1"/>
  <c r="AY50" i="20"/>
  <c r="AY52" i="20" s="1"/>
  <c r="AY54" i="20" s="1"/>
  <c r="AZ44" i="20"/>
  <c r="BC10" i="20"/>
  <c r="F4" i="28" s="1"/>
  <c r="BB23" i="20"/>
  <c r="BC23" i="20" s="1"/>
  <c r="F5" i="28" s="1"/>
  <c r="BC83" i="20" l="1"/>
  <c r="BB85" i="20"/>
  <c r="AZ50" i="20"/>
  <c r="AZ52" i="20" s="1"/>
  <c r="AZ54" i="20" s="1"/>
  <c r="BA44" i="20"/>
  <c r="BF5" i="20"/>
  <c r="BE10" i="20"/>
  <c r="BE23" i="20" s="1"/>
  <c r="BC85" i="20" l="1"/>
  <c r="BB87" i="20"/>
  <c r="BB89" i="20" s="1"/>
  <c r="BF10" i="20"/>
  <c r="BF23" i="20" s="1"/>
  <c r="BA50" i="20"/>
  <c r="BA52" i="20" s="1"/>
  <c r="BA54" i="20" s="1"/>
  <c r="BB44" i="20"/>
  <c r="BB45" i="20" l="1"/>
  <c r="BC45" i="20" s="1"/>
  <c r="BC89" i="20"/>
  <c r="BC87" i="20"/>
  <c r="BG16" i="23"/>
  <c r="BB35" i="20"/>
  <c r="BC44" i="20"/>
  <c r="F8" i="28" l="1"/>
  <c r="F7" i="28"/>
  <c r="BD44" i="20"/>
  <c r="BD50" i="20" s="1"/>
  <c r="BC35" i="20"/>
  <c r="BD35" i="20"/>
  <c r="BB38" i="20"/>
  <c r="BB50" i="20"/>
  <c r="BC50" i="20" s="1"/>
  <c r="F9" i="28" s="1"/>
  <c r="BG17" i="23"/>
  <c r="BG19" i="23" s="1"/>
  <c r="BP16" i="23"/>
  <c r="BP17" i="23" s="1"/>
  <c r="BP19" i="23" s="1"/>
  <c r="BE44" i="20" l="1"/>
  <c r="BF44" i="20" s="1"/>
  <c r="C81" i="23"/>
  <c r="BG23" i="23"/>
  <c r="BP23" i="23" s="1"/>
  <c r="BG5" i="20"/>
  <c r="BB40" i="20"/>
  <c r="BC38" i="20"/>
  <c r="BE35" i="20"/>
  <c r="BD38" i="20"/>
  <c r="BD40" i="20" s="1"/>
  <c r="BD52" i="20" s="1"/>
  <c r="BD54" i="20" s="1"/>
  <c r="BE50" i="20"/>
  <c r="P26" i="23" l="1"/>
  <c r="P25" i="23" s="1"/>
  <c r="BC40" i="20"/>
  <c r="BB52" i="20"/>
  <c r="BE38" i="20"/>
  <c r="BE40" i="20" s="1"/>
  <c r="BE52" i="20" s="1"/>
  <c r="BE54" i="20" s="1"/>
  <c r="BF35" i="20"/>
  <c r="BH5" i="20"/>
  <c r="BG10" i="20"/>
  <c r="BG23" i="20" s="1"/>
  <c r="BF50" i="20"/>
  <c r="BG44" i="20"/>
  <c r="BF38" i="20" l="1"/>
  <c r="BF40" i="20" s="1"/>
  <c r="BF52" i="20" s="1"/>
  <c r="BF54" i="20" s="1"/>
  <c r="BG35" i="20"/>
  <c r="BC52" i="20"/>
  <c r="BC54" i="20" s="1"/>
  <c r="BB54" i="20"/>
  <c r="BI5" i="20"/>
  <c r="BH10" i="20"/>
  <c r="BH23" i="20" s="1"/>
  <c r="BG50" i="20"/>
  <c r="BH44" i="20"/>
  <c r="BJ5" i="20" l="1"/>
  <c r="BI10" i="20"/>
  <c r="BI23" i="20" s="1"/>
  <c r="BG38" i="20"/>
  <c r="BG40" i="20" s="1"/>
  <c r="BG52" i="20" s="1"/>
  <c r="BG54" i="20" s="1"/>
  <c r="BH35" i="20"/>
  <c r="BH50" i="20"/>
  <c r="BI44" i="20"/>
  <c r="BI35" i="20" l="1"/>
  <c r="BH38" i="20"/>
  <c r="BH40" i="20" s="1"/>
  <c r="BH52" i="20" s="1"/>
  <c r="BH54" i="20" s="1"/>
  <c r="BK5" i="20"/>
  <c r="BJ10" i="20"/>
  <c r="BJ23" i="20" s="1"/>
  <c r="BI50" i="20"/>
  <c r="BJ44" i="20"/>
  <c r="BI38" i="20" l="1"/>
  <c r="BI40" i="20" s="1"/>
  <c r="BI52" i="20" s="1"/>
  <c r="BI54" i="20" s="1"/>
  <c r="BJ35" i="20"/>
  <c r="BK10" i="20"/>
  <c r="BK23" i="20" s="1"/>
  <c r="BL5" i="20"/>
  <c r="BJ50" i="20"/>
  <c r="BK44" i="20"/>
  <c r="BK35" i="20" l="1"/>
  <c r="BJ38" i="20"/>
  <c r="BJ40" i="20" s="1"/>
  <c r="BJ52" i="20" s="1"/>
  <c r="BJ54" i="20" s="1"/>
  <c r="BL10" i="20"/>
  <c r="BL23" i="20" s="1"/>
  <c r="BM5" i="20"/>
  <c r="BK50" i="20"/>
  <c r="BL44" i="20"/>
  <c r="BK38" i="20" l="1"/>
  <c r="BK40" i="20" s="1"/>
  <c r="BK52" i="20" s="1"/>
  <c r="BK54" i="20" s="1"/>
  <c r="BL35" i="20"/>
  <c r="BN5" i="20"/>
  <c r="BM10" i="20"/>
  <c r="BM23" i="20" s="1"/>
  <c r="BL50" i="20"/>
  <c r="BM44" i="20"/>
  <c r="BO5" i="20" l="1"/>
  <c r="BN10" i="20"/>
  <c r="BN23" i="20" s="1"/>
  <c r="BM35" i="20"/>
  <c r="BL38" i="20"/>
  <c r="BL40" i="20" s="1"/>
  <c r="BL52" i="20" s="1"/>
  <c r="BL54" i="20" s="1"/>
  <c r="BM50" i="20"/>
  <c r="BN44" i="20"/>
  <c r="BN35" i="20" l="1"/>
  <c r="BM38" i="20"/>
  <c r="BM40" i="20" s="1"/>
  <c r="BM52" i="20" s="1"/>
  <c r="BM54" i="20" s="1"/>
  <c r="BO10" i="20"/>
  <c r="BP5" i="20"/>
  <c r="BN50" i="20"/>
  <c r="BO44" i="20"/>
  <c r="BO23" i="20" l="1"/>
  <c r="BP23" i="20" s="1"/>
  <c r="BP10" i="20"/>
  <c r="G4" i="28" s="1"/>
  <c r="BN38" i="20"/>
  <c r="BN40" i="20" s="1"/>
  <c r="BN52" i="20" s="1"/>
  <c r="BN54" i="20" s="1"/>
  <c r="BO35" i="20"/>
  <c r="BO50" i="20"/>
  <c r="BP50" i="20" s="1"/>
  <c r="G9" i="28" s="1"/>
  <c r="BP44" i="20"/>
  <c r="G5" i="28" l="1"/>
  <c r="G8" i="28"/>
  <c r="BO38" i="20"/>
  <c r="BP35" i="20"/>
  <c r="BP38" i="20" l="1"/>
  <c r="BO40" i="20"/>
  <c r="BP40" i="20" l="1"/>
  <c r="BO52" i="20"/>
  <c r="BP52" i="20" l="1"/>
  <c r="BP54" i="20" s="1"/>
  <c r="BO54" i="20"/>
</calcChain>
</file>

<file path=xl/sharedStrings.xml><?xml version="1.0" encoding="utf-8"?>
<sst xmlns="http://schemas.openxmlformats.org/spreadsheetml/2006/main" count="624" uniqueCount="357">
  <si>
    <t>VARIABLES</t>
  </si>
  <si>
    <t>AÑO 1</t>
  </si>
  <si>
    <t>AÑO 2</t>
  </si>
  <si>
    <t>AÑO 3</t>
  </si>
  <si>
    <t>DIAS MES</t>
  </si>
  <si>
    <t>DIAS LABORABLES</t>
  </si>
  <si>
    <t>MESES AÑO</t>
  </si>
  <si>
    <t>TURNOS PROMEDIO</t>
  </si>
  <si>
    <t>Arriendo</t>
  </si>
  <si>
    <t>Asistente administrativo</t>
  </si>
  <si>
    <t>Salario Director operativo</t>
  </si>
  <si>
    <t>Prestaciones y auxilio</t>
  </si>
  <si>
    <t>Telefonía/Internet</t>
  </si>
  <si>
    <t>Acueducto y Alcantarillado</t>
  </si>
  <si>
    <t>Energía</t>
  </si>
  <si>
    <t>Papelería</t>
  </si>
  <si>
    <t>hosting pagina internet</t>
  </si>
  <si>
    <t>Parqueo</t>
  </si>
  <si>
    <t>Publicidad</t>
  </si>
  <si>
    <t>Total Costos y Gastos Fijos</t>
  </si>
  <si>
    <t>Seguro vehículo (prorrateado mes)</t>
  </si>
  <si>
    <t>Seguro obligatorio (prorrateado mes)</t>
  </si>
  <si>
    <t>Seguro mercancía (prorrateado mes)</t>
  </si>
  <si>
    <t>Total seguros (prorrateado mes)</t>
  </si>
  <si>
    <t>Depreciación Mobiliario</t>
  </si>
  <si>
    <t>Depreciación Equipos</t>
  </si>
  <si>
    <t xml:space="preserve">SALARIO PERSONAL </t>
  </si>
  <si>
    <t xml:space="preserve">PERSONAL </t>
  </si>
  <si>
    <t>No ASISTENTE ADMNISTRATIVO</t>
  </si>
  <si>
    <t>SALARIO</t>
  </si>
  <si>
    <t>TOTAL SALARIOS ASISTENTE</t>
  </si>
  <si>
    <t>No DIRECTOR OPERATIVO</t>
  </si>
  <si>
    <t>TOTAL SALARIOS DIRECTOR OPE</t>
  </si>
  <si>
    <t>No GERENTE</t>
  </si>
  <si>
    <t>TOTAL SALARIOS GERENTE</t>
  </si>
  <si>
    <t>No CORDINADOR FLOTA</t>
  </si>
  <si>
    <t xml:space="preserve">                    -   </t>
  </si>
  <si>
    <t>TOTAL SALARIOS FLOTA</t>
  </si>
  <si>
    <t xml:space="preserve"> $                 -   </t>
  </si>
  <si>
    <t>TOTAL SALARIOS FIJOS</t>
  </si>
  <si>
    <t>PRESTACIONES SOCIALES</t>
  </si>
  <si>
    <t>TOTAL ASISTENTE</t>
  </si>
  <si>
    <t>TOTAL DIRECTOR OPERATIVO</t>
  </si>
  <si>
    <t>TOTAL GERENTE</t>
  </si>
  <si>
    <t>TOTAL CORDINADOR FLOTA</t>
  </si>
  <si>
    <t>FACTOR PRESTACIONAL</t>
  </si>
  <si>
    <t>TOTAL DE PRESTACIONES (FIJO)</t>
  </si>
  <si>
    <t xml:space="preserve"> $      2,297,500 </t>
  </si>
  <si>
    <t xml:space="preserve"> $      2,377,913 </t>
  </si>
  <si>
    <t xml:space="preserve"> $      2,920,811 </t>
  </si>
  <si>
    <t>VEHICULOS</t>
  </si>
  <si>
    <t>TOTAL</t>
  </si>
  <si>
    <t>Seguros</t>
  </si>
  <si>
    <t>Impuesto</t>
  </si>
  <si>
    <t>Año 1</t>
  </si>
  <si>
    <t>Año 2</t>
  </si>
  <si>
    <t>Año 3</t>
  </si>
  <si>
    <t>Activos Fijos</t>
  </si>
  <si>
    <t xml:space="preserve">Salario Gerente General </t>
  </si>
  <si>
    <t>Cuota Credito</t>
  </si>
  <si>
    <t>Actualizacion Mapas (Anual)</t>
  </si>
  <si>
    <t>A TERCEROS</t>
  </si>
  <si>
    <t>Precio del servicio</t>
  </si>
  <si>
    <t>Servicios Mensuales</t>
  </si>
  <si>
    <t xml:space="preserve">TOTAL </t>
  </si>
  <si>
    <t>Mes</t>
  </si>
  <si>
    <t>ASISTENTE ADMNISTRATIVO</t>
  </si>
  <si>
    <t>SENA 2%</t>
  </si>
  <si>
    <t xml:space="preserve">ICBF 3% </t>
  </si>
  <si>
    <t xml:space="preserve">Caja de Compensación familiar 4% </t>
  </si>
  <si>
    <t xml:space="preserve">Aportes 
Parafiscales </t>
  </si>
  <si>
    <t xml:space="preserve">Cesantias  8,33 % </t>
  </si>
  <si>
    <t xml:space="preserve">Prima de Servicios 8,33% </t>
  </si>
  <si>
    <t xml:space="preserve">Vacaciones 4,17% </t>
  </si>
  <si>
    <t xml:space="preserve">Intereses sobre Cesantias 1% </t>
  </si>
  <si>
    <t>Carga 
Prestacional</t>
  </si>
  <si>
    <t xml:space="preserve">PENSIONES empleado  4% </t>
  </si>
  <si>
    <t xml:space="preserve">PENSIONES empleador  12% </t>
  </si>
  <si>
    <t xml:space="preserve">Seguridad 
Social </t>
  </si>
  <si>
    <t xml:space="preserve">EPS empleado  4% </t>
  </si>
  <si>
    <t>ARP</t>
  </si>
  <si>
    <t xml:space="preserve">EPS empleador  8,5% </t>
  </si>
  <si>
    <t>%</t>
  </si>
  <si>
    <t xml:space="preserve">COORDINADOR FLOTA </t>
  </si>
  <si>
    <t>GERENTE</t>
  </si>
  <si>
    <t xml:space="preserve">CONDUCTORES </t>
  </si>
  <si>
    <t xml:space="preserve">INGRESOS </t>
  </si>
  <si>
    <t xml:space="preserve">SECRETARIA </t>
  </si>
  <si>
    <t xml:space="preserve">No. de Vehiculos </t>
  </si>
  <si>
    <t>Vehiculo 1</t>
  </si>
  <si>
    <t>Vehiculo 2</t>
  </si>
  <si>
    <t>Vehiculo 3</t>
  </si>
  <si>
    <t>Vehiculo 4</t>
  </si>
  <si>
    <t>Servicios diarios</t>
  </si>
  <si>
    <t>Semanas en el mes</t>
  </si>
  <si>
    <t>Dias trabajados x semana</t>
  </si>
  <si>
    <t>Ipc Proyectado</t>
  </si>
  <si>
    <t>Total año 1</t>
  </si>
  <si>
    <t>Total año 2</t>
  </si>
  <si>
    <t>Total año 3</t>
  </si>
  <si>
    <t>Meses de depreciación</t>
  </si>
  <si>
    <t>Vlr Seguro Obligatorio</t>
  </si>
  <si>
    <t>Vlr Ipc proyectado</t>
  </si>
  <si>
    <t>Vlr Total Depreciación</t>
  </si>
  <si>
    <t>Vlr Seguro Todo Riesgo</t>
  </si>
  <si>
    <t>Cantidad</t>
  </si>
  <si>
    <t>Vlr % de alza del precio</t>
  </si>
  <si>
    <t>Capacidad del Vehiculo</t>
  </si>
  <si>
    <t>Relación Kilometros X Galon</t>
  </si>
  <si>
    <t>Capacidad de Kilometros</t>
  </si>
  <si>
    <t>Numero de Recorridos</t>
  </si>
  <si>
    <t>Consumo de Kilomestros Promedio x Recorrido</t>
  </si>
  <si>
    <t>Kilometros comsumidos</t>
  </si>
  <si>
    <t>Vlr Consumo de Gasolina</t>
  </si>
  <si>
    <t>Costo Total Tanqueada</t>
  </si>
  <si>
    <t>Numero de Tanqueadas al mes</t>
  </si>
  <si>
    <t>Cantidad de Cambios de Aceite</t>
  </si>
  <si>
    <t>Vlr Comsumo de Aceite</t>
  </si>
  <si>
    <t>Cantidad de Galones x Carro</t>
  </si>
  <si>
    <t>Vlr Consumo de Filtros</t>
  </si>
  <si>
    <t>Vlr Galon de ACPM</t>
  </si>
  <si>
    <t>Costo Lavado Basico</t>
  </si>
  <si>
    <t>Vlr Lavado General</t>
  </si>
  <si>
    <t>Vlr Lavado Basico</t>
  </si>
  <si>
    <t>Costo Lavado General</t>
  </si>
  <si>
    <t>Cantidad de Lavados General al Mes</t>
  </si>
  <si>
    <t>Costo Filtro del Aire</t>
  </si>
  <si>
    <t>Costo Filtro del Aceite</t>
  </si>
  <si>
    <t>Costo de los Filtros</t>
  </si>
  <si>
    <t>Costo Revisión de los 10.000 Kilometros</t>
  </si>
  <si>
    <t>Costo Revisión de los 20.000 Kilometros</t>
  </si>
  <si>
    <t>Kilomestros Consumidos para el cambio</t>
  </si>
  <si>
    <t>Kilomestros Consumidos para la Revisión</t>
  </si>
  <si>
    <t>Cantidad de Revisiones</t>
  </si>
  <si>
    <t>Cantidad de Conductores</t>
  </si>
  <si>
    <t>Conductor</t>
  </si>
  <si>
    <t>Gerente</t>
  </si>
  <si>
    <t>Secretaria</t>
  </si>
  <si>
    <t>Costo del Vehiculo Ambulancia de AB</t>
  </si>
  <si>
    <t>Otros gastos</t>
  </si>
  <si>
    <t>Otros ingresos</t>
  </si>
  <si>
    <t>Total Egresos Operacionales</t>
  </si>
  <si>
    <t>amortizaciones</t>
  </si>
  <si>
    <t>Provisiones, depreciaciones y</t>
  </si>
  <si>
    <t>De operación</t>
  </si>
  <si>
    <t>De administración</t>
  </si>
  <si>
    <t>EGRESOS OPERACIONALES</t>
  </si>
  <si>
    <t>Total ingresos operacionales</t>
  </si>
  <si>
    <t>Venta de bienes y servicios</t>
  </si>
  <si>
    <t>Servicio de transporte</t>
  </si>
  <si>
    <t>INGRESOS OPERACIONALES</t>
  </si>
  <si>
    <t>TOTAL PASIVO Y PATRIMONIO</t>
  </si>
  <si>
    <t>TOTAL PATRIMONIO</t>
  </si>
  <si>
    <t>Patrimonio institucional incorporado</t>
  </si>
  <si>
    <t>Superavit por valorización e intangible</t>
  </si>
  <si>
    <t>Revalorización del patrimonio</t>
  </si>
  <si>
    <t>Recursos de cofinanciación</t>
  </si>
  <si>
    <t>Resultados de ejercicio</t>
  </si>
  <si>
    <t>Capital social</t>
  </si>
  <si>
    <t>PATRIMONIO</t>
  </si>
  <si>
    <t>TOTAL PASIVO</t>
  </si>
  <si>
    <t>TOTAL PASIVO NO CORRIENTE</t>
  </si>
  <si>
    <t>Otros pasivos</t>
  </si>
  <si>
    <t>Pasivos estimados</t>
  </si>
  <si>
    <t>Obligaciones financieras</t>
  </si>
  <si>
    <t>PASIVO NO CORRIENTE</t>
  </si>
  <si>
    <t>TOTAL PASIVO CORRIENTE</t>
  </si>
  <si>
    <t>Obligaciones laborales</t>
  </si>
  <si>
    <t>Cuentas por pagar</t>
  </si>
  <si>
    <t>PASIVO CORRIENTE</t>
  </si>
  <si>
    <t>TOTAL ACTIVO</t>
  </si>
  <si>
    <t>TOTAL ACTIVO NO CORRIENTE</t>
  </si>
  <si>
    <t>Otros activos</t>
  </si>
  <si>
    <t>Bienes de beneficio y uso público</t>
  </si>
  <si>
    <t>Propiedad, planta y equipo, neto</t>
  </si>
  <si>
    <t>Deudoras a largo plazo</t>
  </si>
  <si>
    <t>Inversión patrimonial</t>
  </si>
  <si>
    <t>ACTIVO NO CORRIENTE</t>
  </si>
  <si>
    <t>TOTAL ACTIVO CORRIENTE</t>
  </si>
  <si>
    <t>Deudores</t>
  </si>
  <si>
    <t>Inversiones</t>
  </si>
  <si>
    <t>ACTIVO CORRIENTE</t>
  </si>
  <si>
    <t>Valor del Carro</t>
  </si>
  <si>
    <t>Valor Cuota Inicial</t>
  </si>
  <si>
    <t>Saldo a Financiar</t>
  </si>
  <si>
    <t>Cuota</t>
  </si>
  <si>
    <t>Valor Intereses</t>
  </si>
  <si>
    <t>Abono Capita</t>
  </si>
  <si>
    <t>Saldo</t>
  </si>
  <si>
    <t>Interes</t>
  </si>
  <si>
    <t>Cuotas</t>
  </si>
  <si>
    <t>Consolidado</t>
  </si>
  <si>
    <t>Vlr Costo Total de Operación</t>
  </si>
  <si>
    <t>Total Gastos de Administración</t>
  </si>
  <si>
    <t>Vlr Cambio de Llantas</t>
  </si>
  <si>
    <t>Ipc proyectado</t>
  </si>
  <si>
    <t>Vlr Parqueadero Mes</t>
  </si>
  <si>
    <t>Vlr Total Parqueadero</t>
  </si>
  <si>
    <t>Dotación</t>
  </si>
  <si>
    <t>Vlr Total Seguridad Social</t>
  </si>
  <si>
    <t>Vlr Total Aportes Parafiscales</t>
  </si>
  <si>
    <t>Vlr Tota Carga Prestacional</t>
  </si>
  <si>
    <t>Vlr Total Sueldos</t>
  </si>
  <si>
    <t>Seguridad Social</t>
  </si>
  <si>
    <t>Vlr Sueldos</t>
  </si>
  <si>
    <t>Vehiculos</t>
  </si>
  <si>
    <t>Depreciación</t>
  </si>
  <si>
    <t>Consumo de Gasolina</t>
  </si>
  <si>
    <t>Costo Mantenimientos</t>
  </si>
  <si>
    <t>Costo Parqueaderos</t>
  </si>
  <si>
    <t>Vlr Total Mantenimientos</t>
  </si>
  <si>
    <t>Vlr Total Seguro Todo Riesgo</t>
  </si>
  <si>
    <t>VlrTotal Seguro Obligatorio</t>
  </si>
  <si>
    <t>Vlr Total Seguros</t>
  </si>
  <si>
    <t>Vlr Total Ventas</t>
  </si>
  <si>
    <t>UTILIDAD (PERDIDA) OPERACIONAL</t>
  </si>
  <si>
    <t>UTILIDAD (PERDIDA) NO OPERACIONAL</t>
  </si>
  <si>
    <t>INGRESO DE EFECTIVO</t>
  </si>
  <si>
    <t>Prestamos</t>
  </si>
  <si>
    <t>TOTAL INGRESO DE EFECTIVO</t>
  </si>
  <si>
    <t>Cuentas por Pagar</t>
  </si>
  <si>
    <t>Gastos de Adm y de Ventas</t>
  </si>
  <si>
    <t>Pago de Impuestos</t>
  </si>
  <si>
    <t>TOTAL EGRESOS DE EFECTIVO</t>
  </si>
  <si>
    <t>FLUJO NETO ECONOMICO</t>
  </si>
  <si>
    <t>Obligaciones Financieras</t>
  </si>
  <si>
    <t>Aportes Socios</t>
  </si>
  <si>
    <t>Gastos de Operación</t>
  </si>
  <si>
    <t>IMPUESTO DE RENTA</t>
  </si>
  <si>
    <t>UTILIDAD (PERDIDA) ANTES DE IMPUESTO</t>
  </si>
  <si>
    <t>UTILIDAD (PERDIDA) DESPUES DE IMPUESTO</t>
  </si>
  <si>
    <t>Impuesto de Ica</t>
  </si>
  <si>
    <t>Avisos y tableros</t>
  </si>
  <si>
    <t>Impuesto Total</t>
  </si>
  <si>
    <t>Impuesto de ICA</t>
  </si>
  <si>
    <t>Resultados de ejercicios anteriores</t>
  </si>
  <si>
    <t>Cuentas por Cobrar</t>
  </si>
  <si>
    <t>Auxiliar</t>
  </si>
  <si>
    <t>Tarifa 4.14 X MIL</t>
  </si>
  <si>
    <t>Auxilio de Transporte</t>
  </si>
  <si>
    <t>Vlr Total Auxilio de Transporte</t>
  </si>
  <si>
    <t>Auxilio de 
Transporte</t>
  </si>
  <si>
    <t>Vlr Total Dotación</t>
  </si>
  <si>
    <t>Cantidad de Lavados Basicos al Mes x Carro</t>
  </si>
  <si>
    <t>Vlr galon de aceite</t>
  </si>
  <si>
    <t>Valor prestamo</t>
  </si>
  <si>
    <t>Inversión Cartera Colectiva</t>
  </si>
  <si>
    <t>Vlr Total Impuesto</t>
  </si>
  <si>
    <t>Vlr Impuesto</t>
  </si>
  <si>
    <t>Arriendo de Bodega</t>
  </si>
  <si>
    <t>Vlr del Arriendo</t>
  </si>
  <si>
    <t>Vlr Total Arriendo</t>
  </si>
  <si>
    <t>Servicios Publicos</t>
  </si>
  <si>
    <t>Internet y Telefonia</t>
  </si>
  <si>
    <t>Energia</t>
  </si>
  <si>
    <t>Agua y Alcantarillado</t>
  </si>
  <si>
    <t>Telefonia Celular</t>
  </si>
  <si>
    <t>Costo del Plan</t>
  </si>
  <si>
    <t>Cantidad de Celulares</t>
  </si>
  <si>
    <t>ADMINISTRATIVOS</t>
  </si>
  <si>
    <t>Contador</t>
  </si>
  <si>
    <t>Asesor</t>
  </si>
  <si>
    <t>Servicios Profesionales</t>
  </si>
  <si>
    <t>Vlr Total Servicios Profesionales</t>
  </si>
  <si>
    <t>Vlr Total Consumo de Celulares</t>
  </si>
  <si>
    <t>Vlr Total Servicios Publicos</t>
  </si>
  <si>
    <t>Gastos Administrativos</t>
  </si>
  <si>
    <t>Papeleria</t>
  </si>
  <si>
    <t>Aseo y cafeteria</t>
  </si>
  <si>
    <t>Disponible</t>
  </si>
  <si>
    <t>Servicio de aseo</t>
  </si>
  <si>
    <t>Servicio de vigilancia</t>
  </si>
  <si>
    <t>Revisoria fiscal</t>
  </si>
  <si>
    <t>Transporte</t>
  </si>
  <si>
    <t>Vlr Total Gastos Administrativos</t>
  </si>
  <si>
    <t>Costo muebles y enseres</t>
  </si>
  <si>
    <t>Costo computadores</t>
  </si>
  <si>
    <t>Meses de depreciación MyE</t>
  </si>
  <si>
    <t>Meses de depreciación EC</t>
  </si>
  <si>
    <t>Gastos de constitución</t>
  </si>
  <si>
    <t>Renovación matricula mercantil</t>
  </si>
  <si>
    <t>Vlr Gastos Administrativos</t>
  </si>
  <si>
    <t>NOMINA</t>
  </si>
  <si>
    <t>CUENTA</t>
  </si>
  <si>
    <t>DESCRIPCION</t>
  </si>
  <si>
    <t>Total</t>
  </si>
  <si>
    <t>EGRESOS DE EFECTIVO</t>
  </si>
  <si>
    <t xml:space="preserve">FLUJO DE CAJA </t>
  </si>
  <si>
    <t>Vlr. Presente</t>
  </si>
  <si>
    <t>Vlr. Presente Neto</t>
  </si>
  <si>
    <t>TIO Mensual</t>
  </si>
  <si>
    <t>TIO Anual</t>
  </si>
  <si>
    <t>TIR Anual</t>
  </si>
  <si>
    <t>TIR Mensual</t>
  </si>
  <si>
    <t>Total año 4</t>
  </si>
  <si>
    <t>Total año 5</t>
  </si>
  <si>
    <t>Año 4</t>
  </si>
  <si>
    <t>Año 5</t>
  </si>
  <si>
    <t>Obligaciones tributarias</t>
  </si>
  <si>
    <t>FLUJO DE CAJA LIBRE</t>
  </si>
  <si>
    <t>EBIT</t>
  </si>
  <si>
    <t>Amortizaciones</t>
  </si>
  <si>
    <t>EBITDA</t>
  </si>
  <si>
    <t>Total año 0</t>
  </si>
  <si>
    <t>INVERSIONES FIJAS</t>
  </si>
  <si>
    <t>Muebles y Enseres</t>
  </si>
  <si>
    <t>Capital de Trabajo (30 días de Ventas)</t>
  </si>
  <si>
    <t>Preoperativos</t>
  </si>
  <si>
    <t>Recuperación Venta de Activos</t>
  </si>
  <si>
    <t>FLUJO CAJA OPERACIONAL</t>
  </si>
  <si>
    <t>IMPUESTOS OPERACIONALES</t>
  </si>
  <si>
    <t>Recuperación Capital de Trabajo</t>
  </si>
  <si>
    <t>TIR</t>
  </si>
  <si>
    <t>Vlr Revisiones x Garantía</t>
  </si>
  <si>
    <t>Costo Revisión Periodica</t>
  </si>
  <si>
    <t>Días trabajados x semana</t>
  </si>
  <si>
    <t>Servicios</t>
  </si>
  <si>
    <t>Provisiones, depreciaciones y amortizaciones</t>
  </si>
  <si>
    <t>Costo Total</t>
  </si>
  <si>
    <t>Costo Total X Servicio</t>
  </si>
  <si>
    <t>Margen Esperado</t>
  </si>
  <si>
    <t>IPC Proyectado</t>
  </si>
  <si>
    <t>Costos y Gastos Variables</t>
  </si>
  <si>
    <t>Margen de Contribución</t>
  </si>
  <si>
    <t>Costos y Gastos Fijos Anuales</t>
  </si>
  <si>
    <t>Punto de Equilibrio Recorridos Anuales</t>
  </si>
  <si>
    <t>Punto de Equilibrio Recorridos Diarios (279 días laborales al año)</t>
  </si>
  <si>
    <t>WACC</t>
  </si>
  <si>
    <t>01 de abril 1966</t>
  </si>
  <si>
    <t>HERNANLADINO@HOTMAIL.COM</t>
  </si>
  <si>
    <t>RAZONES FINANCIERAS</t>
  </si>
  <si>
    <t>Periodo</t>
  </si>
  <si>
    <t>Razón Corriente</t>
  </si>
  <si>
    <t>Rotación Activos Fijos</t>
  </si>
  <si>
    <t>Margen Utilidad Operacional</t>
  </si>
  <si>
    <t>Margen Utilidad Neto</t>
  </si>
  <si>
    <t>ROA</t>
  </si>
  <si>
    <t>ROE</t>
  </si>
  <si>
    <t>Margen EBIDTA</t>
  </si>
  <si>
    <t>Crecimiento Ingresos</t>
  </si>
  <si>
    <t>-</t>
  </si>
  <si>
    <t>Crecimiento Egresos</t>
  </si>
  <si>
    <t>Vehiculo 5</t>
  </si>
  <si>
    <t>Vehiculo 6</t>
  </si>
  <si>
    <t>Valor Neto de Venta</t>
  </si>
  <si>
    <t>Precio Venta Ano 5</t>
  </si>
  <si>
    <t>Valor en Libros</t>
  </si>
  <si>
    <t>Precio de Compra</t>
  </si>
  <si>
    <t>VALOR RESIDUAL</t>
  </si>
  <si>
    <t>EA</t>
  </si>
  <si>
    <t>VALOR F</t>
  </si>
  <si>
    <t>VALOR E</t>
  </si>
  <si>
    <t>Ke</t>
  </si>
  <si>
    <t>Kf</t>
  </si>
  <si>
    <t>Pf</t>
  </si>
  <si>
    <t>Pe</t>
  </si>
  <si>
    <t>Ke= Tasa Libre de Riesgo + Prima de Riesgo = 8% + 10%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</si>
</sst>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_ ;[Red]\-#,##0\ "/>
    <numFmt numFmtId="167" formatCode="#,##0.00_ ;[Red]\-#,##0.00\ "/>
    <numFmt numFmtId="168" formatCode="#,##0.00;[Red]#,##0.00"/>
    <numFmt numFmtId="169" formatCode="_(&quot;$&quot;\ * #,##0_);_(&quot;$&quot;\ * \(#,##0\);_(&quot;$&quot;\ * &quot;-&quot;??_);_(@_)"/>
    <numFmt numFmtId="170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0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8" fontId="3" fillId="0" borderId="4" xfId="0" applyNumberFormat="1" applyFont="1" applyBorder="1" applyAlignment="1">
      <alignment horizontal="left" vertical="center"/>
    </xf>
    <xf numFmtId="8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8" fontId="2" fillId="0" borderId="7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9" fontId="2" fillId="0" borderId="7" xfId="0" applyNumberFormat="1" applyFont="1" applyBorder="1" applyAlignment="1">
      <alignment horizontal="right" vertical="center"/>
    </xf>
    <xf numFmtId="164" fontId="1" fillId="0" borderId="0" xfId="1" applyNumberFormat="1" applyFont="1" applyAlignment="1">
      <alignment horizontal="justify" vertical="center" wrapText="1"/>
    </xf>
    <xf numFmtId="164" fontId="1" fillId="2" borderId="0" xfId="1" applyNumberFormat="1" applyFont="1" applyFill="1" applyAlignment="1">
      <alignment horizontal="justify" vertical="center" wrapText="1"/>
    </xf>
    <xf numFmtId="164" fontId="1" fillId="3" borderId="0" xfId="1" applyNumberFormat="1" applyFont="1" applyFill="1" applyAlignment="1">
      <alignment horizontal="justify" vertical="center" wrapText="1"/>
    </xf>
    <xf numFmtId="164" fontId="0" fillId="3" borderId="0" xfId="1" applyNumberFormat="1" applyFont="1" applyFill="1" applyAlignment="1">
      <alignment horizontal="justify" vertical="center" wrapText="1"/>
    </xf>
    <xf numFmtId="164" fontId="0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8" fontId="3" fillId="0" borderId="0" xfId="0" applyNumberFormat="1" applyFont="1" applyBorder="1" applyAlignment="1">
      <alignment horizontal="left" vertical="center"/>
    </xf>
    <xf numFmtId="8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9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9" fontId="0" fillId="0" borderId="0" xfId="2" applyFont="1"/>
    <xf numFmtId="165" fontId="0" fillId="0" borderId="0" xfId="2" applyNumberFormat="1" applyFont="1"/>
    <xf numFmtId="164" fontId="0" fillId="0" borderId="0" xfId="0" applyNumberFormat="1"/>
    <xf numFmtId="9" fontId="0" fillId="0" borderId="0" xfId="2" applyFont="1" applyAlignment="1">
      <alignment vertical="center"/>
    </xf>
    <xf numFmtId="10" fontId="0" fillId="0" borderId="0" xfId="2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167" fontId="0" fillId="0" borderId="0" xfId="0" applyNumberFormat="1"/>
    <xf numFmtId="168" fontId="0" fillId="0" borderId="0" xfId="0" applyNumberFormat="1"/>
    <xf numFmtId="0" fontId="4" fillId="0" borderId="0" xfId="0" applyFont="1" applyAlignment="1">
      <alignment vertical="center" textRotation="90" wrapText="1"/>
    </xf>
    <xf numFmtId="164" fontId="4" fillId="0" borderId="0" xfId="1" applyNumberFormat="1" applyFont="1"/>
    <xf numFmtId="0" fontId="5" fillId="0" borderId="0" xfId="0" applyFont="1"/>
    <xf numFmtId="164" fontId="5" fillId="0" borderId="0" xfId="1" applyNumberFormat="1" applyFont="1"/>
    <xf numFmtId="0" fontId="5" fillId="0" borderId="0" xfId="0" quotePrefix="1" applyFont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quotePrefix="1" applyBorder="1" applyAlignment="1">
      <alignment horizontal="left"/>
    </xf>
    <xf numFmtId="0" fontId="0" fillId="0" borderId="12" xfId="0" applyBorder="1"/>
    <xf numFmtId="164" fontId="0" fillId="0" borderId="12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9" fontId="0" fillId="0" borderId="12" xfId="2" applyFont="1" applyBorder="1" applyAlignment="1">
      <alignment horizontal="center" vertical="center"/>
    </xf>
    <xf numFmtId="0" fontId="0" fillId="0" borderId="13" xfId="0" applyBorder="1"/>
    <xf numFmtId="0" fontId="4" fillId="0" borderId="11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/>
    <xf numFmtId="164" fontId="6" fillId="4" borderId="15" xfId="0" applyNumberFormat="1" applyFont="1" applyFill="1" applyBorder="1" applyAlignment="1">
      <alignment horizontal="center"/>
    </xf>
    <xf numFmtId="164" fontId="6" fillId="4" borderId="15" xfId="0" applyNumberFormat="1" applyFont="1" applyFill="1" applyBorder="1"/>
    <xf numFmtId="164" fontId="6" fillId="4" borderId="16" xfId="0" applyNumberFormat="1" applyFont="1" applyFill="1" applyBorder="1"/>
    <xf numFmtId="0" fontId="0" fillId="0" borderId="12" xfId="0" applyFont="1" applyBorder="1"/>
    <xf numFmtId="164" fontId="0" fillId="0" borderId="12" xfId="1" applyNumberFormat="1" applyFont="1" applyBorder="1"/>
    <xf numFmtId="164" fontId="0" fillId="0" borderId="12" xfId="0" applyNumberFormat="1" applyBorder="1"/>
    <xf numFmtId="164" fontId="0" fillId="0" borderId="13" xfId="1" applyNumberFormat="1" applyFont="1" applyBorder="1"/>
    <xf numFmtId="9" fontId="0" fillId="0" borderId="12" xfId="2" applyFont="1" applyBorder="1"/>
    <xf numFmtId="9" fontId="0" fillId="0" borderId="12" xfId="0" applyNumberFormat="1" applyBorder="1"/>
    <xf numFmtId="0" fontId="4" fillId="0" borderId="12" xfId="0" quotePrefix="1" applyFont="1" applyBorder="1" applyAlignment="1">
      <alignment horizontal="left"/>
    </xf>
    <xf numFmtId="0" fontId="4" fillId="0" borderId="12" xfId="0" applyFont="1" applyBorder="1"/>
    <xf numFmtId="164" fontId="4" fillId="0" borderId="12" xfId="1" applyNumberFormat="1" applyFont="1" applyBorder="1"/>
    <xf numFmtId="164" fontId="0" fillId="0" borderId="13" xfId="0" applyNumberFormat="1" applyBorder="1"/>
    <xf numFmtId="0" fontId="0" fillId="0" borderId="12" xfId="0" quotePrefix="1" applyBorder="1" applyAlignment="1">
      <alignment horizontal="left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vertical="center" textRotation="90" wrapText="1"/>
    </xf>
    <xf numFmtId="0" fontId="4" fillId="0" borderId="12" xfId="0" applyFont="1" applyBorder="1" applyAlignment="1">
      <alignment horizontal="center"/>
    </xf>
    <xf numFmtId="10" fontId="0" fillId="0" borderId="12" xfId="2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43" fontId="0" fillId="0" borderId="12" xfId="3" applyNumberFormat="1" applyFont="1" applyBorder="1" applyAlignment="1">
      <alignment horizontal="center" vertical="center"/>
    </xf>
    <xf numFmtId="43" fontId="2" fillId="0" borderId="12" xfId="3" applyNumberFormat="1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166" fontId="0" fillId="2" borderId="12" xfId="1" applyNumberFormat="1" applyFont="1" applyFill="1" applyBorder="1"/>
    <xf numFmtId="166" fontId="0" fillId="0" borderId="12" xfId="0" applyNumberFormat="1" applyBorder="1"/>
    <xf numFmtId="166" fontId="0" fillId="0" borderId="12" xfId="1" applyNumberFormat="1" applyFont="1" applyBorder="1"/>
    <xf numFmtId="1" fontId="0" fillId="0" borderId="12" xfId="2" applyNumberFormat="1" applyFont="1" applyBorder="1"/>
    <xf numFmtId="164" fontId="4" fillId="0" borderId="13" xfId="1" applyNumberFormat="1" applyFont="1" applyBorder="1"/>
    <xf numFmtId="164" fontId="0" fillId="2" borderId="12" xfId="1" applyNumberFormat="1" applyFont="1" applyFill="1" applyBorder="1"/>
    <xf numFmtId="0" fontId="2" fillId="0" borderId="12" xfId="0" quotePrefix="1" applyFont="1" applyFill="1" applyBorder="1" applyAlignment="1">
      <alignment horizontal="center" vertical="center"/>
    </xf>
    <xf numFmtId="43" fontId="0" fillId="0" borderId="12" xfId="1" applyNumberFormat="1" applyFont="1" applyBorder="1"/>
    <xf numFmtId="164" fontId="0" fillId="0" borderId="12" xfId="1" applyNumberFormat="1" applyFont="1" applyFill="1" applyBorder="1"/>
    <xf numFmtId="0" fontId="0" fillId="0" borderId="12" xfId="0" applyBorder="1" applyAlignment="1">
      <alignment horizontal="left"/>
    </xf>
    <xf numFmtId="164" fontId="5" fillId="0" borderId="12" xfId="1" applyNumberFormat="1" applyFont="1" applyBorder="1"/>
    <xf numFmtId="164" fontId="5" fillId="0" borderId="13" xfId="1" applyNumberFormat="1" applyFont="1" applyBorder="1"/>
    <xf numFmtId="164" fontId="4" fillId="0" borderId="15" xfId="1" applyNumberFormat="1" applyFont="1" applyBorder="1"/>
    <xf numFmtId="164" fontId="4" fillId="0" borderId="16" xfId="1" applyNumberFormat="1" applyFont="1" applyBorder="1"/>
    <xf numFmtId="0" fontId="4" fillId="0" borderId="12" xfId="0" quotePrefix="1" applyFont="1" applyBorder="1" applyAlignment="1">
      <alignment horizontal="center"/>
    </xf>
    <xf numFmtId="0" fontId="4" fillId="0" borderId="12" xfId="0" quotePrefix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" fontId="0" fillId="0" borderId="12" xfId="0" applyNumberFormat="1" applyBorder="1"/>
    <xf numFmtId="166" fontId="0" fillId="0" borderId="13" xfId="0" applyNumberFormat="1" applyBorder="1"/>
    <xf numFmtId="1" fontId="0" fillId="0" borderId="13" xfId="0" applyNumberFormat="1" applyBorder="1"/>
    <xf numFmtId="0" fontId="4" fillId="5" borderId="17" xfId="0" quotePrefix="1" applyFont="1" applyFill="1" applyBorder="1" applyAlignment="1">
      <alignment horizontal="center"/>
    </xf>
    <xf numFmtId="164" fontId="4" fillId="5" borderId="17" xfId="1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horizontal="center" vertical="center"/>
    </xf>
    <xf numFmtId="164" fontId="4" fillId="5" borderId="18" xfId="0" applyNumberFormat="1" applyFont="1" applyFill="1" applyBorder="1" applyAlignment="1">
      <alignment horizontal="center" vertical="center"/>
    </xf>
    <xf numFmtId="0" fontId="0" fillId="0" borderId="28" xfId="0" applyBorder="1"/>
    <xf numFmtId="9" fontId="0" fillId="0" borderId="28" xfId="2" applyFont="1" applyBorder="1" applyAlignment="1">
      <alignment horizontal="center" vertical="center"/>
    </xf>
    <xf numFmtId="164" fontId="0" fillId="0" borderId="28" xfId="1" applyNumberFormat="1" applyFont="1" applyBorder="1" applyAlignment="1">
      <alignment horizontal="center" vertical="center"/>
    </xf>
    <xf numFmtId="164" fontId="0" fillId="0" borderId="29" xfId="1" applyNumberFormat="1" applyFont="1" applyBorder="1" applyAlignment="1">
      <alignment horizontal="center" vertical="center"/>
    </xf>
    <xf numFmtId="0" fontId="0" fillId="0" borderId="9" xfId="0" applyBorder="1"/>
    <xf numFmtId="165" fontId="0" fillId="0" borderId="9" xfId="2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0" fontId="4" fillId="5" borderId="15" xfId="0" quotePrefix="1" applyFont="1" applyFill="1" applyBorder="1" applyAlignment="1">
      <alignment horizontal="center"/>
    </xf>
    <xf numFmtId="43" fontId="2" fillId="5" borderId="15" xfId="3" applyNumberFormat="1" applyFont="1" applyFill="1" applyBorder="1" applyAlignment="1">
      <alignment horizontal="center" vertical="center"/>
    </xf>
    <xf numFmtId="164" fontId="4" fillId="5" borderId="15" xfId="1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horizontal="center" vertical="center"/>
    </xf>
    <xf numFmtId="0" fontId="0" fillId="0" borderId="9" xfId="0" applyFont="1" applyBorder="1"/>
    <xf numFmtId="43" fontId="0" fillId="0" borderId="9" xfId="3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43" fontId="2" fillId="5" borderId="17" xfId="3" applyNumberFormat="1" applyFont="1" applyFill="1" applyBorder="1" applyAlignment="1">
      <alignment horizontal="center" vertical="center"/>
    </xf>
    <xf numFmtId="0" fontId="0" fillId="0" borderId="28" xfId="0" quotePrefix="1" applyFont="1" applyBorder="1" applyAlignment="1">
      <alignment horizontal="left"/>
    </xf>
    <xf numFmtId="43" fontId="2" fillId="0" borderId="28" xfId="3" applyNumberFormat="1" applyFon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0" fontId="0" fillId="0" borderId="9" xfId="2" applyNumberFormat="1" applyFont="1" applyBorder="1" applyAlignment="1">
      <alignment horizontal="center" vertical="center"/>
    </xf>
    <xf numFmtId="0" fontId="0" fillId="0" borderId="9" xfId="0" quotePrefix="1" applyFont="1" applyBorder="1" applyAlignment="1">
      <alignment horizontal="left"/>
    </xf>
    <xf numFmtId="43" fontId="2" fillId="0" borderId="9" xfId="3" applyNumberFormat="1" applyFont="1" applyBorder="1" applyAlignment="1">
      <alignment horizontal="center" vertical="center"/>
    </xf>
    <xf numFmtId="0" fontId="7" fillId="5" borderId="15" xfId="0" quotePrefix="1" applyFont="1" applyFill="1" applyBorder="1" applyAlignment="1">
      <alignment horizontal="center"/>
    </xf>
    <xf numFmtId="164" fontId="7" fillId="5" borderId="15" xfId="1" applyNumberFormat="1" applyFont="1" applyFill="1" applyBorder="1" applyAlignment="1">
      <alignment horizontal="center" vertical="center"/>
    </xf>
    <xf numFmtId="164" fontId="7" fillId="5" borderId="16" xfId="1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/>
    </xf>
    <xf numFmtId="164" fontId="9" fillId="5" borderId="12" xfId="1" applyNumberFormat="1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9" fontId="0" fillId="0" borderId="17" xfId="2" applyFont="1" applyBorder="1" applyAlignment="1">
      <alignment horizontal="center" vertical="center"/>
    </xf>
    <xf numFmtId="9" fontId="0" fillId="0" borderId="18" xfId="2" applyFont="1" applyBorder="1" applyAlignment="1">
      <alignment horizontal="center" vertical="center"/>
    </xf>
    <xf numFmtId="164" fontId="9" fillId="5" borderId="13" xfId="0" applyNumberFormat="1" applyFont="1" applyFill="1" applyBorder="1"/>
    <xf numFmtId="164" fontId="5" fillId="6" borderId="15" xfId="1" applyNumberFormat="1" applyFont="1" applyFill="1" applyBorder="1"/>
    <xf numFmtId="164" fontId="5" fillId="6" borderId="16" xfId="1" applyNumberFormat="1" applyFont="1" applyFill="1" applyBorder="1"/>
    <xf numFmtId="0" fontId="0" fillId="0" borderId="17" xfId="0" quotePrefix="1" applyBorder="1" applyAlignment="1">
      <alignment horizontal="left"/>
    </xf>
    <xf numFmtId="166" fontId="0" fillId="2" borderId="17" xfId="1" applyNumberFormat="1" applyFont="1" applyFill="1" applyBorder="1"/>
    <xf numFmtId="166" fontId="0" fillId="0" borderId="17" xfId="0" applyNumberFormat="1" applyBorder="1"/>
    <xf numFmtId="164" fontId="0" fillId="2" borderId="28" xfId="1" applyNumberFormat="1" applyFont="1" applyFill="1" applyBorder="1"/>
    <xf numFmtId="164" fontId="0" fillId="0" borderId="28" xfId="1" applyNumberFormat="1" applyFont="1" applyBorder="1"/>
    <xf numFmtId="164" fontId="0" fillId="0" borderId="28" xfId="0" applyNumberFormat="1" applyBorder="1"/>
    <xf numFmtId="0" fontId="0" fillId="0" borderId="9" xfId="0" quotePrefix="1" applyBorder="1" applyAlignment="1">
      <alignment horizontal="left"/>
    </xf>
    <xf numFmtId="1" fontId="0" fillId="0" borderId="9" xfId="2" applyNumberFormat="1" applyFont="1" applyBorder="1"/>
    <xf numFmtId="1" fontId="0" fillId="0" borderId="9" xfId="0" applyNumberFormat="1" applyBorder="1"/>
    <xf numFmtId="0" fontId="4" fillId="0" borderId="15" xfId="0" quotePrefix="1" applyFont="1" applyBorder="1" applyAlignment="1">
      <alignment horizontal="center"/>
    </xf>
    <xf numFmtId="0" fontId="2" fillId="0" borderId="17" xfId="0" quotePrefix="1" applyFont="1" applyFill="1" applyBorder="1" applyAlignment="1">
      <alignment horizontal="center" vertical="center"/>
    </xf>
    <xf numFmtId="164" fontId="4" fillId="0" borderId="17" xfId="1" applyNumberFormat="1" applyFont="1" applyBorder="1"/>
    <xf numFmtId="164" fontId="4" fillId="0" borderId="18" xfId="1" applyNumberFormat="1" applyFont="1" applyBorder="1"/>
    <xf numFmtId="164" fontId="0" fillId="2" borderId="9" xfId="1" applyNumberFormat="1" applyFont="1" applyFill="1" applyBorder="1"/>
    <xf numFmtId="164" fontId="0" fillId="0" borderId="9" xfId="1" applyNumberFormat="1" applyFont="1" applyBorder="1"/>
    <xf numFmtId="164" fontId="0" fillId="0" borderId="9" xfId="0" applyNumberFormat="1" applyBorder="1"/>
    <xf numFmtId="166" fontId="0" fillId="0" borderId="18" xfId="0" applyNumberFormat="1" applyBorder="1"/>
    <xf numFmtId="1" fontId="0" fillId="0" borderId="10" xfId="0" applyNumberFormat="1" applyBorder="1"/>
    <xf numFmtId="164" fontId="0" fillId="0" borderId="29" xfId="0" applyNumberFormat="1" applyBorder="1"/>
    <xf numFmtId="164" fontId="0" fillId="0" borderId="10" xfId="0" applyNumberFormat="1" applyBorder="1"/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9" xfId="0" quotePrefix="1" applyFont="1" applyFill="1" applyBorder="1" applyAlignment="1">
      <alignment horizontal="center"/>
    </xf>
    <xf numFmtId="0" fontId="7" fillId="4" borderId="10" xfId="0" quotePrefix="1" applyFont="1" applyFill="1" applyBorder="1" applyAlignment="1">
      <alignment horizontal="center"/>
    </xf>
    <xf numFmtId="164" fontId="7" fillId="4" borderId="15" xfId="1" applyNumberFormat="1" applyFont="1" applyFill="1" applyBorder="1"/>
    <xf numFmtId="164" fontId="7" fillId="4" borderId="16" xfId="1" applyNumberFormat="1" applyFont="1" applyFill="1" applyBorder="1"/>
    <xf numFmtId="0" fontId="7" fillId="4" borderId="1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/>
    </xf>
    <xf numFmtId="0" fontId="7" fillId="4" borderId="30" xfId="0" quotePrefix="1" applyFont="1" applyFill="1" applyBorder="1" applyAlignment="1">
      <alignment horizontal="center"/>
    </xf>
    <xf numFmtId="0" fontId="7" fillId="4" borderId="31" xfId="0" quotePrefix="1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 vertical="center"/>
    </xf>
    <xf numFmtId="164" fontId="9" fillId="4" borderId="32" xfId="1" applyNumberFormat="1" applyFont="1" applyFill="1" applyBorder="1" applyAlignment="1">
      <alignment horizontal="center" vertical="center"/>
    </xf>
    <xf numFmtId="164" fontId="9" fillId="4" borderId="32" xfId="0" applyNumberFormat="1" applyFont="1" applyFill="1" applyBorder="1" applyAlignment="1">
      <alignment horizontal="center" vertical="center"/>
    </xf>
    <xf numFmtId="164" fontId="9" fillId="4" borderId="33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4" xfId="0" applyBorder="1"/>
    <xf numFmtId="0" fontId="0" fillId="0" borderId="35" xfId="0" quotePrefix="1" applyBorder="1" applyAlignment="1">
      <alignment horizontal="left"/>
    </xf>
    <xf numFmtId="0" fontId="5" fillId="6" borderId="14" xfId="0" quotePrefix="1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top"/>
    </xf>
    <xf numFmtId="0" fontId="4" fillId="6" borderId="30" xfId="0" applyFont="1" applyFill="1" applyBorder="1" applyAlignment="1">
      <alignment horizontal="center"/>
    </xf>
    <xf numFmtId="0" fontId="4" fillId="0" borderId="8" xfId="0" applyFont="1" applyBorder="1"/>
    <xf numFmtId="164" fontId="0" fillId="0" borderId="10" xfId="1" applyNumberFormat="1" applyFont="1" applyBorder="1"/>
    <xf numFmtId="0" fontId="4" fillId="0" borderId="39" xfId="0" applyFont="1" applyBorder="1"/>
    <xf numFmtId="0" fontId="0" fillId="0" borderId="40" xfId="0" quotePrefix="1" applyBorder="1" applyAlignment="1">
      <alignment horizontal="left"/>
    </xf>
    <xf numFmtId="164" fontId="0" fillId="0" borderId="29" xfId="1" applyNumberFormat="1" applyFont="1" applyBorder="1"/>
    <xf numFmtId="0" fontId="4" fillId="0" borderId="41" xfId="0" applyFont="1" applyBorder="1"/>
    <xf numFmtId="0" fontId="0" fillId="0" borderId="42" xfId="0" applyBorder="1"/>
    <xf numFmtId="164" fontId="0" fillId="0" borderId="42" xfId="1" applyNumberFormat="1" applyFont="1" applyBorder="1"/>
    <xf numFmtId="164" fontId="0" fillId="0" borderId="43" xfId="1" applyNumberFormat="1" applyFont="1" applyBorder="1"/>
    <xf numFmtId="0" fontId="0" fillId="0" borderId="39" xfId="0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0" fontId="4" fillId="0" borderId="40" xfId="0" quotePrefix="1" applyFont="1" applyBorder="1" applyAlignment="1">
      <alignment horizontal="left"/>
    </xf>
    <xf numFmtId="164" fontId="4" fillId="0" borderId="28" xfId="1" applyNumberFormat="1" applyFont="1" applyBorder="1"/>
    <xf numFmtId="164" fontId="4" fillId="0" borderId="29" xfId="1" applyNumberFormat="1" applyFont="1" applyBorder="1"/>
    <xf numFmtId="0" fontId="0" fillId="0" borderId="44" xfId="0" applyBorder="1"/>
    <xf numFmtId="0" fontId="4" fillId="0" borderId="45" xfId="0" quotePrefix="1" applyFont="1" applyBorder="1" applyAlignment="1">
      <alignment horizontal="left"/>
    </xf>
    <xf numFmtId="164" fontId="4" fillId="0" borderId="42" xfId="1" applyNumberFormat="1" applyFont="1" applyBorder="1"/>
    <xf numFmtId="164" fontId="4" fillId="0" borderId="43" xfId="1" applyNumberFormat="1" applyFont="1" applyBorder="1"/>
    <xf numFmtId="0" fontId="10" fillId="0" borderId="0" xfId="0" applyFont="1"/>
    <xf numFmtId="9" fontId="0" fillId="0" borderId="0" xfId="0" applyNumberFormat="1"/>
    <xf numFmtId="10" fontId="0" fillId="0" borderId="0" xfId="2" applyNumberFormat="1" applyFont="1"/>
    <xf numFmtId="10" fontId="4" fillId="0" borderId="0" xfId="2" applyNumberFormat="1" applyFont="1"/>
    <xf numFmtId="0" fontId="4" fillId="6" borderId="3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center"/>
    </xf>
    <xf numFmtId="0" fontId="4" fillId="6" borderId="31" xfId="0" quotePrefix="1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164" fontId="0" fillId="0" borderId="47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4" fillId="5" borderId="23" xfId="1" applyNumberFormat="1" applyFont="1" applyFill="1" applyBorder="1" applyAlignment="1">
      <alignment horizontal="center" vertical="center"/>
    </xf>
    <xf numFmtId="164" fontId="0" fillId="0" borderId="47" xfId="1" applyNumberFormat="1" applyFont="1" applyBorder="1" applyAlignment="1">
      <alignment horizontal="center" vertical="center"/>
    </xf>
    <xf numFmtId="164" fontId="0" fillId="0" borderId="35" xfId="1" applyNumberFormat="1" applyFont="1" applyBorder="1" applyAlignment="1">
      <alignment horizontal="center" vertical="center"/>
    </xf>
    <xf numFmtId="164" fontId="0" fillId="0" borderId="40" xfId="1" applyNumberFormat="1" applyFont="1" applyBorder="1" applyAlignment="1">
      <alignment horizontal="center" vertical="center"/>
    </xf>
    <xf numFmtId="164" fontId="4" fillId="5" borderId="39" xfId="1" applyNumberFormat="1" applyFont="1" applyFill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7" fillId="5" borderId="23" xfId="1" applyNumberFormat="1" applyFont="1" applyFill="1" applyBorder="1" applyAlignment="1">
      <alignment horizontal="center" vertical="center"/>
    </xf>
    <xf numFmtId="164" fontId="9" fillId="4" borderId="27" xfId="1" applyNumberFormat="1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/>
    </xf>
    <xf numFmtId="166" fontId="0" fillId="0" borderId="35" xfId="0" applyNumberFormat="1" applyBorder="1"/>
    <xf numFmtId="166" fontId="0" fillId="0" borderId="39" xfId="0" applyNumberFormat="1" applyBorder="1"/>
    <xf numFmtId="1" fontId="0" fillId="0" borderId="47" xfId="2" applyNumberFormat="1" applyFont="1" applyBorder="1"/>
    <xf numFmtId="1" fontId="0" fillId="0" borderId="35" xfId="2" applyNumberFormat="1" applyFont="1" applyBorder="1"/>
    <xf numFmtId="164" fontId="4" fillId="0" borderId="23" xfId="1" applyNumberFormat="1" applyFont="1" applyBorder="1"/>
    <xf numFmtId="164" fontId="0" fillId="0" borderId="40" xfId="0" applyNumberFormat="1" applyBorder="1"/>
    <xf numFmtId="164" fontId="4" fillId="0" borderId="39" xfId="1" applyNumberFormat="1" applyFont="1" applyBorder="1"/>
    <xf numFmtId="164" fontId="0" fillId="0" borderId="47" xfId="0" applyNumberFormat="1" applyBorder="1"/>
    <xf numFmtId="164" fontId="0" fillId="0" borderId="35" xfId="0" applyNumberFormat="1" applyBorder="1"/>
    <xf numFmtId="164" fontId="0" fillId="0" borderId="35" xfId="1" applyNumberFormat="1" applyFont="1" applyBorder="1"/>
    <xf numFmtId="164" fontId="4" fillId="0" borderId="35" xfId="1" applyNumberFormat="1" applyFont="1" applyBorder="1"/>
    <xf numFmtId="166" fontId="0" fillId="0" borderId="35" xfId="1" applyNumberFormat="1" applyFont="1" applyBorder="1"/>
    <xf numFmtId="43" fontId="0" fillId="0" borderId="35" xfId="1" applyNumberFormat="1" applyFont="1" applyBorder="1"/>
    <xf numFmtId="164" fontId="5" fillId="0" borderId="35" xfId="1" applyNumberFormat="1" applyFont="1" applyBorder="1"/>
    <xf numFmtId="164" fontId="7" fillId="4" borderId="23" xfId="1" applyNumberFormat="1" applyFont="1" applyFill="1" applyBorder="1"/>
    <xf numFmtId="0" fontId="6" fillId="4" borderId="4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164" fontId="0" fillId="0" borderId="35" xfId="1" applyNumberFormat="1" applyFont="1" applyBorder="1" applyAlignment="1">
      <alignment horizontal="center"/>
    </xf>
    <xf numFmtId="9" fontId="0" fillId="0" borderId="39" xfId="2" applyFont="1" applyBorder="1" applyAlignment="1">
      <alignment horizontal="center" vertical="center"/>
    </xf>
    <xf numFmtId="164" fontId="9" fillId="5" borderId="35" xfId="1" applyNumberFormat="1" applyFont="1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center"/>
    </xf>
    <xf numFmtId="164" fontId="9" fillId="5" borderId="12" xfId="0" applyNumberFormat="1" applyFont="1" applyFill="1" applyBorder="1"/>
    <xf numFmtId="0" fontId="6" fillId="4" borderId="9" xfId="0" quotePrefix="1" applyFont="1" applyFill="1" applyBorder="1" applyAlignment="1">
      <alignment horizontal="center"/>
    </xf>
    <xf numFmtId="0" fontId="4" fillId="6" borderId="46" xfId="0" applyFont="1" applyFill="1" applyBorder="1" applyAlignment="1">
      <alignment horizontal="center"/>
    </xf>
    <xf numFmtId="164" fontId="0" fillId="0" borderId="47" xfId="1" applyNumberFormat="1" applyFont="1" applyBorder="1"/>
    <xf numFmtId="164" fontId="0" fillId="0" borderId="45" xfId="1" applyNumberFormat="1" applyFont="1" applyBorder="1"/>
    <xf numFmtId="164" fontId="0" fillId="0" borderId="40" xfId="1" applyNumberFormat="1" applyFont="1" applyBorder="1"/>
    <xf numFmtId="164" fontId="0" fillId="0" borderId="39" xfId="1" applyNumberFormat="1" applyFont="1" applyBorder="1"/>
    <xf numFmtId="164" fontId="4" fillId="0" borderId="45" xfId="1" applyNumberFormat="1" applyFont="1" applyBorder="1"/>
    <xf numFmtId="164" fontId="4" fillId="0" borderId="40" xfId="1" applyNumberFormat="1" applyFont="1" applyBorder="1"/>
    <xf numFmtId="164" fontId="5" fillId="6" borderId="23" xfId="1" applyNumberFormat="1" applyFont="1" applyFill="1" applyBorder="1"/>
    <xf numFmtId="0" fontId="4" fillId="6" borderId="30" xfId="0" quotePrefix="1" applyFont="1" applyFill="1" applyBorder="1" applyAlignment="1">
      <alignment horizontal="center"/>
    </xf>
    <xf numFmtId="0" fontId="4" fillId="0" borderId="37" xfId="0" applyFont="1" applyBorder="1"/>
    <xf numFmtId="0" fontId="0" fillId="0" borderId="40" xfId="0" applyBorder="1"/>
    <xf numFmtId="0" fontId="4" fillId="0" borderId="36" xfId="0" applyFont="1" applyBorder="1"/>
    <xf numFmtId="0" fontId="4" fillId="0" borderId="34" xfId="0" applyFont="1" applyBorder="1"/>
    <xf numFmtId="9" fontId="0" fillId="0" borderId="13" xfId="2" applyFont="1" applyBorder="1"/>
    <xf numFmtId="0" fontId="0" fillId="0" borderId="47" xfId="0" applyBorder="1"/>
    <xf numFmtId="0" fontId="4" fillId="0" borderId="38" xfId="0" applyFont="1" applyBorder="1"/>
    <xf numFmtId="0" fontId="4" fillId="0" borderId="48" xfId="0" applyFont="1" applyBorder="1"/>
    <xf numFmtId="0" fontId="4" fillId="0" borderId="22" xfId="0" applyFont="1" applyBorder="1"/>
    <xf numFmtId="0" fontId="4" fillId="0" borderId="23" xfId="0" applyFont="1" applyBorder="1"/>
    <xf numFmtId="10" fontId="4" fillId="0" borderId="15" xfId="2" applyNumberFormat="1" applyFont="1" applyBorder="1"/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3" fontId="15" fillId="8" borderId="4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4" fillId="0" borderId="3" xfId="0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9" fontId="14" fillId="0" borderId="4" xfId="0" applyNumberFormat="1" applyFont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3" fontId="16" fillId="7" borderId="4" xfId="0" applyNumberFormat="1" applyFont="1" applyFill="1" applyBorder="1" applyAlignment="1">
      <alignment horizontal="center" vertical="center"/>
    </xf>
    <xf numFmtId="0" fontId="13" fillId="7" borderId="2" xfId="0" quotePrefix="1" applyFont="1" applyFill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10" fontId="4" fillId="0" borderId="17" xfId="2" applyNumberFormat="1" applyFont="1" applyBorder="1"/>
    <xf numFmtId="9" fontId="0" fillId="0" borderId="13" xfId="0" applyNumberFormat="1" applyBorder="1"/>
    <xf numFmtId="0" fontId="0" fillId="0" borderId="10" xfId="0" applyBorder="1"/>
    <xf numFmtId="0" fontId="6" fillId="4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164" fontId="18" fillId="0" borderId="42" xfId="1" applyNumberFormat="1" applyFont="1" applyBorder="1"/>
    <xf numFmtId="164" fontId="18" fillId="6" borderId="42" xfId="1" applyNumberFormat="1" applyFont="1" applyFill="1" applyBorder="1"/>
    <xf numFmtId="164" fontId="18" fillId="6" borderId="45" xfId="1" applyNumberFormat="1" applyFont="1" applyFill="1" applyBorder="1"/>
    <xf numFmtId="164" fontId="18" fillId="6" borderId="43" xfId="1" applyNumberFormat="1" applyFont="1" applyFill="1" applyBorder="1"/>
    <xf numFmtId="0" fontId="17" fillId="0" borderId="0" xfId="4"/>
    <xf numFmtId="169" fontId="0" fillId="0" borderId="12" xfId="3" applyNumberFormat="1" applyFont="1" applyBorder="1"/>
    <xf numFmtId="169" fontId="0" fillId="0" borderId="12" xfId="0" applyNumberFormat="1" applyBorder="1"/>
    <xf numFmtId="10" fontId="0" fillId="0" borderId="12" xfId="2" applyNumberFormat="1" applyFont="1" applyBorder="1" applyAlignment="1">
      <alignment horizontal="center"/>
    </xf>
    <xf numFmtId="169" fontId="0" fillId="0" borderId="13" xfId="0" applyNumberFormat="1" applyBorder="1"/>
    <xf numFmtId="10" fontId="0" fillId="0" borderId="13" xfId="2" applyNumberFormat="1" applyFont="1" applyBorder="1" applyAlignment="1">
      <alignment horizontal="center"/>
    </xf>
    <xf numFmtId="10" fontId="0" fillId="0" borderId="15" xfId="2" applyNumberFormat="1" applyFont="1" applyBorder="1" applyAlignment="1">
      <alignment horizontal="center"/>
    </xf>
    <xf numFmtId="10" fontId="0" fillId="0" borderId="16" xfId="2" applyNumberFormat="1" applyFon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2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70" fontId="20" fillId="0" borderId="12" xfId="0" applyNumberFormat="1" applyFont="1" applyBorder="1" applyAlignment="1">
      <alignment horizontal="center"/>
    </xf>
    <xf numFmtId="170" fontId="21" fillId="0" borderId="12" xfId="0" applyNumberFormat="1" applyFont="1" applyBorder="1" applyAlignment="1">
      <alignment horizontal="center"/>
    </xf>
    <xf numFmtId="10" fontId="21" fillId="0" borderId="12" xfId="0" applyNumberFormat="1" applyFont="1" applyBorder="1" applyAlignment="1">
      <alignment horizontal="center"/>
    </xf>
    <xf numFmtId="0" fontId="20" fillId="0" borderId="12" xfId="0" quotePrefix="1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5" xfId="0" quotePrefix="1" applyFont="1" applyBorder="1" applyAlignment="1">
      <alignment horizontal="center"/>
    </xf>
    <xf numFmtId="10" fontId="21" fillId="0" borderId="15" xfId="0" applyNumberFormat="1" applyFont="1" applyBorder="1" applyAlignment="1">
      <alignment horizontal="center"/>
    </xf>
    <xf numFmtId="164" fontId="0" fillId="0" borderId="15" xfId="1" applyNumberFormat="1" applyFont="1" applyBorder="1"/>
    <xf numFmtId="169" fontId="0" fillId="0" borderId="15" xfId="3" applyNumberFormat="1" applyFont="1" applyBorder="1"/>
    <xf numFmtId="169" fontId="0" fillId="0" borderId="15" xfId="0" applyNumberFormat="1" applyBorder="1"/>
    <xf numFmtId="0" fontId="0" fillId="0" borderId="20" xfId="0" applyBorder="1"/>
    <xf numFmtId="169" fontId="0" fillId="0" borderId="28" xfId="3" applyNumberFormat="1" applyFont="1" applyBorder="1"/>
    <xf numFmtId="169" fontId="0" fillId="0" borderId="28" xfId="0" applyNumberFormat="1" applyBorder="1"/>
    <xf numFmtId="169" fontId="0" fillId="0" borderId="29" xfId="0" applyNumberFormat="1" applyBorder="1"/>
    <xf numFmtId="169" fontId="4" fillId="0" borderId="16" xfId="0" applyNumberFormat="1" applyFont="1" applyBorder="1"/>
    <xf numFmtId="0" fontId="4" fillId="0" borderId="14" xfId="0" applyFont="1" applyBorder="1"/>
    <xf numFmtId="0" fontId="0" fillId="6" borderId="25" xfId="0" applyFill="1" applyBorder="1"/>
    <xf numFmtId="0" fontId="4" fillId="6" borderId="32" xfId="0" applyFont="1" applyFill="1" applyBorder="1"/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64" fontId="0" fillId="0" borderId="28" xfId="1" applyNumberFormat="1" applyFont="1" applyBorder="1" applyAlignment="1">
      <alignment horizontal="center"/>
    </xf>
    <xf numFmtId="0" fontId="0" fillId="0" borderId="29" xfId="0" applyBorder="1"/>
    <xf numFmtId="0" fontId="22" fillId="0" borderId="14" xfId="0" applyFont="1" applyBorder="1"/>
    <xf numFmtId="0" fontId="4" fillId="6" borderId="1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42" xfId="0" applyFont="1" applyFill="1" applyBorder="1" applyAlignment="1">
      <alignment horizontal="center"/>
    </xf>
    <xf numFmtId="0" fontId="5" fillId="6" borderId="43" xfId="0" applyFont="1" applyFill="1" applyBorder="1" applyAlignment="1">
      <alignment horizontal="center"/>
    </xf>
    <xf numFmtId="0" fontId="22" fillId="6" borderId="44" xfId="0" applyFont="1" applyFill="1" applyBorder="1" applyAlignment="1">
      <alignment horizontal="center"/>
    </xf>
    <xf numFmtId="0" fontId="22" fillId="6" borderId="49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10" fontId="22" fillId="0" borderId="50" xfId="2" applyNumberFormat="1" applyFont="1" applyBorder="1" applyAlignment="1">
      <alignment horizontal="center"/>
    </xf>
    <xf numFmtId="10" fontId="22" fillId="0" borderId="51" xfId="2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7" fillId="5" borderId="19" xfId="0" quotePrefix="1" applyFont="1" applyFill="1" applyBorder="1" applyAlignment="1">
      <alignment horizontal="center" vertical="center" wrapText="1"/>
    </xf>
    <xf numFmtId="0" fontId="7" fillId="5" borderId="24" xfId="0" quotePrefix="1" applyFont="1" applyFill="1" applyBorder="1" applyAlignment="1">
      <alignment horizontal="center" vertical="center" wrapText="1"/>
    </xf>
    <xf numFmtId="0" fontId="7" fillId="5" borderId="25" xfId="0" quotePrefix="1" applyFont="1" applyFill="1" applyBorder="1" applyAlignment="1">
      <alignment horizontal="center" vertical="center" wrapText="1"/>
    </xf>
    <xf numFmtId="0" fontId="7" fillId="5" borderId="20" xfId="0" quotePrefix="1" applyFont="1" applyFill="1" applyBorder="1" applyAlignment="1">
      <alignment horizontal="center" wrapText="1"/>
    </xf>
    <xf numFmtId="0" fontId="7" fillId="5" borderId="21" xfId="0" quotePrefix="1" applyFont="1" applyFill="1" applyBorder="1" applyAlignment="1">
      <alignment horizontal="center"/>
    </xf>
    <xf numFmtId="0" fontId="7" fillId="5" borderId="25" xfId="0" quotePrefix="1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4" fillId="0" borderId="21" xfId="0" quotePrefix="1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4" fillId="0" borderId="11" xfId="0" quotePrefix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quotePrefix="1" applyNumberFormat="1" applyFont="1" applyBorder="1" applyAlignment="1">
      <alignment horizontal="left" vertical="justify" textRotation="90" wrapText="1"/>
    </xf>
    <xf numFmtId="0" fontId="4" fillId="0" borderId="11" xfId="0" applyNumberFormat="1" applyFont="1" applyBorder="1" applyAlignment="1">
      <alignment horizontal="justify" vertical="justify" textRotation="90" wrapText="1"/>
    </xf>
    <xf numFmtId="0" fontId="4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8" fillId="6" borderId="44" xfId="0" applyFont="1" applyFill="1" applyBorder="1" applyAlignment="1">
      <alignment horizontal="center"/>
    </xf>
    <xf numFmtId="0" fontId="18" fillId="6" borderId="4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quotePrefix="1" applyFont="1" applyBorder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Moneda" xfId="3" builtinId="4"/>
    <cellStyle name="Normal" xfId="0" builtinId="0"/>
    <cellStyle name="Porcentaje" xfId="2" builtinId="5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HERNANLADINO@HOTMAIL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309"/>
  <sheetViews>
    <sheetView workbookViewId="0">
      <pane xSplit="3" ySplit="2" topLeftCell="P48" activePane="bottomRight" state="frozen"/>
      <selection pane="topRight" activeCell="D1" sqref="D1"/>
      <selection pane="bottomLeft" activeCell="A3" sqref="A3"/>
      <selection pane="bottomRight" activeCell="P10" sqref="P10"/>
    </sheetView>
  </sheetViews>
  <sheetFormatPr baseColWidth="10" defaultColWidth="11.42578125" defaultRowHeight="15" outlineLevelCol="1" x14ac:dyDescent="0.25"/>
  <cols>
    <col min="1" max="1" width="11.42578125" customWidth="1"/>
    <col min="2" max="2" width="4.5703125" customWidth="1"/>
    <col min="3" max="3" width="33.5703125" customWidth="1"/>
    <col min="4" max="13" width="13.85546875" hidden="1" customWidth="1" outlineLevel="1"/>
    <col min="14" max="15" width="14.5703125" hidden="1" customWidth="1" outlineLevel="1"/>
    <col min="16" max="16" width="15.5703125" bestFit="1" customWidth="1" collapsed="1"/>
    <col min="17" max="28" width="13.85546875" hidden="1" customWidth="1" outlineLevel="1"/>
    <col min="29" max="29" width="15.5703125" bestFit="1" customWidth="1" collapsed="1"/>
    <col min="30" max="41" width="13.85546875" hidden="1" customWidth="1" outlineLevel="1"/>
    <col min="42" max="42" width="15.5703125" bestFit="1" customWidth="1" collapsed="1"/>
    <col min="43" max="54" width="13.85546875" hidden="1" customWidth="1" outlineLevel="1"/>
    <col min="55" max="55" width="15.5703125" bestFit="1" customWidth="1" collapsed="1"/>
    <col min="56" max="67" width="13.85546875" hidden="1" customWidth="1" outlineLevel="1"/>
    <col min="68" max="68" width="15.5703125" bestFit="1" customWidth="1" collapsed="1"/>
  </cols>
  <sheetData>
    <row r="2" spans="2:68" x14ac:dyDescent="0.25">
      <c r="D2" s="25">
        <v>1</v>
      </c>
      <c r="E2" s="25">
        <v>2</v>
      </c>
      <c r="F2" s="25">
        <v>3</v>
      </c>
      <c r="G2" s="25">
        <v>4</v>
      </c>
      <c r="H2" s="25">
        <v>5</v>
      </c>
      <c r="I2" s="25">
        <v>6</v>
      </c>
      <c r="J2" s="25">
        <v>7</v>
      </c>
      <c r="K2" s="25">
        <v>8</v>
      </c>
      <c r="L2" s="25">
        <v>9</v>
      </c>
      <c r="M2" s="25">
        <v>10</v>
      </c>
      <c r="N2" s="25">
        <v>11</v>
      </c>
      <c r="O2" s="25">
        <v>12</v>
      </c>
      <c r="P2" s="43" t="s">
        <v>54</v>
      </c>
      <c r="Q2" s="25">
        <v>13</v>
      </c>
      <c r="R2" s="25">
        <v>14</v>
      </c>
      <c r="S2" s="25">
        <f>+R2+1</f>
        <v>15</v>
      </c>
      <c r="T2" s="25">
        <f t="shared" ref="T2:AB2" si="0">+S2+1</f>
        <v>16</v>
      </c>
      <c r="U2" s="25">
        <f t="shared" si="0"/>
        <v>17</v>
      </c>
      <c r="V2" s="25">
        <f t="shared" si="0"/>
        <v>18</v>
      </c>
      <c r="W2" s="25">
        <f t="shared" si="0"/>
        <v>19</v>
      </c>
      <c r="X2" s="25">
        <f t="shared" si="0"/>
        <v>20</v>
      </c>
      <c r="Y2" s="25">
        <f t="shared" si="0"/>
        <v>21</v>
      </c>
      <c r="Z2" s="25">
        <f t="shared" si="0"/>
        <v>22</v>
      </c>
      <c r="AA2" s="25">
        <f t="shared" si="0"/>
        <v>23</v>
      </c>
      <c r="AB2" s="25">
        <f t="shared" si="0"/>
        <v>24</v>
      </c>
      <c r="AC2" s="43" t="s">
        <v>55</v>
      </c>
      <c r="AD2" s="25">
        <f>+AB2+1</f>
        <v>25</v>
      </c>
      <c r="AE2" s="25">
        <f>+AD2+1</f>
        <v>26</v>
      </c>
      <c r="AF2" s="25">
        <f>+AE2+1</f>
        <v>27</v>
      </c>
      <c r="AG2" s="25">
        <f>+AF2+1</f>
        <v>28</v>
      </c>
      <c r="AH2" s="25">
        <f t="shared" ref="AH2:AO2" si="1">+AG2+1</f>
        <v>29</v>
      </c>
      <c r="AI2" s="25">
        <f t="shared" si="1"/>
        <v>30</v>
      </c>
      <c r="AJ2" s="25">
        <f t="shared" si="1"/>
        <v>31</v>
      </c>
      <c r="AK2" s="25">
        <f t="shared" si="1"/>
        <v>32</v>
      </c>
      <c r="AL2" s="25">
        <f t="shared" si="1"/>
        <v>33</v>
      </c>
      <c r="AM2" s="25">
        <f t="shared" si="1"/>
        <v>34</v>
      </c>
      <c r="AN2" s="25">
        <f t="shared" si="1"/>
        <v>35</v>
      </c>
      <c r="AO2" s="25">
        <f t="shared" si="1"/>
        <v>36</v>
      </c>
      <c r="AP2" s="43" t="s">
        <v>56</v>
      </c>
      <c r="AQ2" s="25">
        <f>+AO2+1</f>
        <v>37</v>
      </c>
      <c r="AR2" s="25">
        <f t="shared" ref="AR2:BB2" si="2">+AQ2+1</f>
        <v>38</v>
      </c>
      <c r="AS2" s="25">
        <f t="shared" si="2"/>
        <v>39</v>
      </c>
      <c r="AT2" s="25">
        <f t="shared" si="2"/>
        <v>40</v>
      </c>
      <c r="AU2" s="25">
        <f t="shared" si="2"/>
        <v>41</v>
      </c>
      <c r="AV2" s="25">
        <f t="shared" si="2"/>
        <v>42</v>
      </c>
      <c r="AW2" s="25">
        <f t="shared" si="2"/>
        <v>43</v>
      </c>
      <c r="AX2" s="25">
        <f t="shared" si="2"/>
        <v>44</v>
      </c>
      <c r="AY2" s="25">
        <f t="shared" si="2"/>
        <v>45</v>
      </c>
      <c r="AZ2" s="25">
        <f t="shared" si="2"/>
        <v>46</v>
      </c>
      <c r="BA2" s="25">
        <f t="shared" si="2"/>
        <v>47</v>
      </c>
      <c r="BB2" s="25">
        <f t="shared" si="2"/>
        <v>48</v>
      </c>
      <c r="BC2" s="43" t="s">
        <v>296</v>
      </c>
      <c r="BD2" s="25">
        <f>+BB2+1</f>
        <v>49</v>
      </c>
      <c r="BE2" s="25">
        <f t="shared" ref="BE2:BO2" si="3">+BD2+1</f>
        <v>50</v>
      </c>
      <c r="BF2" s="25">
        <f t="shared" si="3"/>
        <v>51</v>
      </c>
      <c r="BG2" s="25">
        <f t="shared" si="3"/>
        <v>52</v>
      </c>
      <c r="BH2" s="25">
        <f t="shared" si="3"/>
        <v>53</v>
      </c>
      <c r="BI2" s="25">
        <f t="shared" si="3"/>
        <v>54</v>
      </c>
      <c r="BJ2" s="25">
        <f t="shared" si="3"/>
        <v>55</v>
      </c>
      <c r="BK2" s="25">
        <f t="shared" si="3"/>
        <v>56</v>
      </c>
      <c r="BL2" s="25">
        <f t="shared" si="3"/>
        <v>57</v>
      </c>
      <c r="BM2" s="25">
        <f t="shared" si="3"/>
        <v>58</v>
      </c>
      <c r="BN2" s="25">
        <f t="shared" si="3"/>
        <v>59</v>
      </c>
      <c r="BO2" s="25">
        <f t="shared" si="3"/>
        <v>60</v>
      </c>
      <c r="BP2" s="43" t="s">
        <v>297</v>
      </c>
    </row>
    <row r="4" spans="2:68" x14ac:dyDescent="0.25">
      <c r="B4" s="26" t="s">
        <v>181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2:68" x14ac:dyDescent="0.25">
      <c r="C5" t="s">
        <v>269</v>
      </c>
      <c r="D5" s="24">
        <f>+'FLUJO CAJA'!D19</f>
        <v>42769546</v>
      </c>
      <c r="E5" s="24">
        <f>+D5+'FLUJO CAJA'!E19</f>
        <v>40089469</v>
      </c>
      <c r="F5" s="24">
        <f>+E5+'FLUJO CAJA'!F19</f>
        <v>38647771</v>
      </c>
      <c r="G5" s="24">
        <f>+F5+'FLUJO CAJA'!G19</f>
        <v>35431980</v>
      </c>
      <c r="H5" s="24">
        <f>+G5+'FLUJO CAJA'!H19</f>
        <v>33454568</v>
      </c>
      <c r="I5" s="24">
        <f>+H5+'FLUJO CAJA'!I19</f>
        <v>30703063</v>
      </c>
      <c r="J5" s="24">
        <f>+I5+'FLUJO CAJA'!J19</f>
        <v>6902338</v>
      </c>
      <c r="K5" s="24">
        <f>+J5+'FLUJO CAJA'!K19</f>
        <v>12313861</v>
      </c>
      <c r="L5" s="24">
        <f>+K5+'FLUJO CAJA'!L19</f>
        <v>20602144</v>
      </c>
      <c r="M5" s="24">
        <f>+L5+'FLUJO CAJA'!M19</f>
        <v>24342239</v>
      </c>
      <c r="N5" s="24">
        <f>+M5+'FLUJO CAJA'!N19</f>
        <v>31659093</v>
      </c>
      <c r="O5" s="24">
        <f>+N5+'FLUJO CAJA'!O19</f>
        <v>35327759</v>
      </c>
      <c r="P5" s="24">
        <f>+O5</f>
        <v>35327759</v>
      </c>
      <c r="Q5" s="24">
        <f>O5+'FLUJO CAJA'!Q19</f>
        <v>40860507</v>
      </c>
      <c r="R5" s="24">
        <f>Q5+'FLUJO CAJA'!R19</f>
        <v>43654699</v>
      </c>
      <c r="S5" s="24">
        <f>R5+'FLUJO CAJA'!S19</f>
        <v>41962149</v>
      </c>
      <c r="T5" s="24">
        <f>S5+'FLUJO CAJA'!T19</f>
        <v>30124085</v>
      </c>
      <c r="U5" s="24">
        <f>T5+'FLUJO CAJA'!U19</f>
        <v>35424107</v>
      </c>
      <c r="V5" s="24">
        <f>U5+'FLUJO CAJA'!V19</f>
        <v>37011442</v>
      </c>
      <c r="W5" s="24">
        <f>V5+'FLUJO CAJA'!W19</f>
        <v>5041812</v>
      </c>
      <c r="X5" s="24">
        <f>W5+'FLUJO CAJA'!X19</f>
        <v>11847423</v>
      </c>
      <c r="Y5" s="24">
        <f>X5+'FLUJO CAJA'!Y19</f>
        <v>23350920</v>
      </c>
      <c r="Z5" s="24">
        <f>Y5+'FLUJO CAJA'!Z19</f>
        <v>30361388</v>
      </c>
      <c r="AA5" s="24">
        <f>Z5+'FLUJO CAJA'!AA19</f>
        <v>40405742</v>
      </c>
      <c r="AB5" s="24">
        <f>AA5+'FLUJO CAJA'!AB19</f>
        <v>45829067</v>
      </c>
      <c r="AC5" s="24">
        <f>+AB5</f>
        <v>45829067</v>
      </c>
      <c r="AD5" s="24">
        <f>AB5+'FLUJO CAJA'!AD19</f>
        <v>54105252.799999997</v>
      </c>
      <c r="AE5" s="24">
        <f>AD5+'FLUJO CAJA'!AE19</f>
        <v>58651123.599999994</v>
      </c>
      <c r="AF5" s="24">
        <f>AE5+'FLUJO CAJA'!AF19</f>
        <v>56145739.399999991</v>
      </c>
      <c r="AG5" s="24">
        <f>AF5+'FLUJO CAJA'!AG19</f>
        <v>4942455.200000003</v>
      </c>
      <c r="AH5" s="24">
        <f>AG5+'FLUJO CAJA'!AH19</f>
        <v>13403848</v>
      </c>
      <c r="AI5" s="24">
        <f>AH5+'FLUJO CAJA'!AI19</f>
        <v>15141512.799999997</v>
      </c>
      <c r="AJ5" s="24">
        <f>AI5+'FLUJO CAJA'!AJ19</f>
        <v>24901843.599999994</v>
      </c>
      <c r="AK5" s="24">
        <f>AJ5+'FLUJO CAJA'!AK19</f>
        <v>46430616.399999991</v>
      </c>
      <c r="AL5" s="24">
        <f>AK5+'FLUJO CAJA'!AL19</f>
        <v>73388134.199999988</v>
      </c>
      <c r="AM5" s="24">
        <f>AL5+'FLUJO CAJA'!AM19</f>
        <v>96215844.999999985</v>
      </c>
      <c r="AN5" s="24">
        <f>AM5+'FLUJO CAJA'!AN19</f>
        <v>121660139.79999998</v>
      </c>
      <c r="AO5" s="24">
        <f>AN5+'FLUJO CAJA'!AO19</f>
        <v>142380707.59999996</v>
      </c>
      <c r="AP5" s="24">
        <f>+AO5</f>
        <v>142380707.59999996</v>
      </c>
      <c r="AQ5" s="24">
        <f>AO5+'FLUJO CAJA'!AQ19</f>
        <v>168316748.39999998</v>
      </c>
      <c r="AR5" s="24">
        <f>AQ5+'FLUJO CAJA'!AR19</f>
        <v>196326097.19999999</v>
      </c>
      <c r="AS5" s="24">
        <f>AR5+'FLUJO CAJA'!AS19</f>
        <v>217308792</v>
      </c>
      <c r="AT5" s="24">
        <f>AS5+'FLUJO CAJA'!AT19</f>
        <v>166086714.80000001</v>
      </c>
      <c r="AU5" s="24">
        <f>AT5+'FLUJO CAJA'!AU19</f>
        <v>197979949.60000002</v>
      </c>
      <c r="AV5" s="24">
        <f>AU5+'FLUJO CAJA'!AV19</f>
        <v>223237330.40000004</v>
      </c>
      <c r="AW5" s="24">
        <f>AV5+'FLUJO CAJA'!AW19</f>
        <v>256485740.20000005</v>
      </c>
      <c r="AX5" s="24">
        <f>AW5+'FLUJO CAJA'!AX19</f>
        <v>284173660.00000006</v>
      </c>
      <c r="AY5" s="24">
        <f>AX5+'FLUJO CAJA'!AY19</f>
        <v>317314926.80000007</v>
      </c>
      <c r="AZ5" s="24">
        <f>AY5+'FLUJO CAJA'!AZ19</f>
        <v>346358021.60000008</v>
      </c>
      <c r="BA5" s="24">
        <f>AZ5+'FLUJO CAJA'!BA19</f>
        <v>377929827.4000001</v>
      </c>
      <c r="BB5" s="24">
        <f>BA5+'FLUJO CAJA'!BB19</f>
        <v>404865780.20000011</v>
      </c>
      <c r="BC5" s="24">
        <f>+BB5</f>
        <v>404865780.20000011</v>
      </c>
      <c r="BD5" s="24">
        <f>BB5+'FLUJO CAJA'!BD19</f>
        <v>436973301.00000012</v>
      </c>
      <c r="BE5" s="24">
        <f>BD5+'FLUJO CAJA'!BE19</f>
        <v>466618922.80000013</v>
      </c>
      <c r="BF5" s="24">
        <f>BE5+'FLUJO CAJA'!BF19</f>
        <v>489263469.60000014</v>
      </c>
      <c r="BG5" s="24">
        <f>BF5+'FLUJO CAJA'!BG19</f>
        <v>429913705.40000015</v>
      </c>
      <c r="BH5" s="24">
        <f>BG5+'FLUJO CAJA'!BH19</f>
        <v>463410304.20000017</v>
      </c>
      <c r="BI5" s="24">
        <f>BH5+'FLUJO CAJA'!BI19</f>
        <v>490362445.00000018</v>
      </c>
      <c r="BJ5" s="24">
        <f>BI5+'FLUJO CAJA'!BJ19</f>
        <v>525272706.80000019</v>
      </c>
      <c r="BK5" s="24">
        <f>BJ5+'FLUJO CAJA'!BK19</f>
        <v>554596899.60000014</v>
      </c>
      <c r="BL5" s="24">
        <f>BK5+'FLUJO CAJA'!BL19</f>
        <v>589400018.4000001</v>
      </c>
      <c r="BM5" s="24">
        <f>BL5+'FLUJO CAJA'!BM19</f>
        <v>620137873.20000005</v>
      </c>
      <c r="BN5" s="24">
        <f>BM5+'FLUJO CAJA'!BN19</f>
        <v>653313044</v>
      </c>
      <c r="BO5" s="24">
        <f>BN5+'FLUJO CAJA'!BO19</f>
        <v>681943755.79999995</v>
      </c>
      <c r="BP5" s="24">
        <f>+BO5</f>
        <v>681943755.79999995</v>
      </c>
    </row>
    <row r="6" spans="2:68" x14ac:dyDescent="0.25">
      <c r="C6" t="s">
        <v>180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f>+O6</f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f>+AB6</f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f>+AO6</f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0</v>
      </c>
      <c r="BC6" s="24">
        <f>+BB6</f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0</v>
      </c>
      <c r="BL6" s="24">
        <v>0</v>
      </c>
      <c r="BM6" s="24">
        <v>0</v>
      </c>
      <c r="BN6" s="24">
        <v>0</v>
      </c>
      <c r="BO6" s="24">
        <v>0</v>
      </c>
      <c r="BP6" s="24">
        <f>+BO6</f>
        <v>0</v>
      </c>
    </row>
    <row r="7" spans="2:68" x14ac:dyDescent="0.25">
      <c r="C7" t="s">
        <v>179</v>
      </c>
      <c r="D7" s="24">
        <f>+'INGRESOS '!G16</f>
        <v>25600000</v>
      </c>
      <c r="E7" s="24">
        <f>+'INGRESOS '!H16</f>
        <v>25600000</v>
      </c>
      <c r="F7" s="24">
        <f>+'INGRESOS '!I16</f>
        <v>25600000</v>
      </c>
      <c r="G7" s="24">
        <f>+'INGRESOS '!J16</f>
        <v>25600000</v>
      </c>
      <c r="H7" s="24">
        <f>+'INGRESOS '!K16</f>
        <v>25600000</v>
      </c>
      <c r="I7" s="24">
        <f>+'INGRESOS '!L16</f>
        <v>25600000</v>
      </c>
      <c r="J7" s="24">
        <f>+'INGRESOS '!M16</f>
        <v>51200000</v>
      </c>
      <c r="K7" s="24">
        <f>+'INGRESOS '!N16</f>
        <v>51200000</v>
      </c>
      <c r="L7" s="24">
        <f>+'INGRESOS '!O16</f>
        <v>51200000</v>
      </c>
      <c r="M7" s="24">
        <f>+'INGRESOS '!P16</f>
        <v>51200000</v>
      </c>
      <c r="N7" s="24">
        <f>+'INGRESOS '!Q16</f>
        <v>51200000</v>
      </c>
      <c r="O7" s="24">
        <f>+'INGRESOS '!R16</f>
        <v>51200000</v>
      </c>
      <c r="P7" s="24">
        <f>+O7</f>
        <v>51200000</v>
      </c>
      <c r="Q7" s="24">
        <f>+'INGRESOS '!T16</f>
        <v>53248000</v>
      </c>
      <c r="R7" s="24">
        <f>+'INGRESOS '!U16</f>
        <v>53248000</v>
      </c>
      <c r="S7" s="24">
        <f>+'INGRESOS '!V16</f>
        <v>53248000</v>
      </c>
      <c r="T7" s="24">
        <f>+'INGRESOS '!W16</f>
        <v>53248000</v>
      </c>
      <c r="U7" s="24">
        <f>+'INGRESOS '!X16</f>
        <v>53248000</v>
      </c>
      <c r="V7" s="24">
        <f>+'INGRESOS '!Y16</f>
        <v>53248000</v>
      </c>
      <c r="W7" s="24">
        <f>+'INGRESOS '!Z16</f>
        <v>79872000</v>
      </c>
      <c r="X7" s="24">
        <f>+'INGRESOS '!AA16</f>
        <v>79872000</v>
      </c>
      <c r="Y7" s="24">
        <f>+'INGRESOS '!AB16</f>
        <v>79872000</v>
      </c>
      <c r="Z7" s="24">
        <f>+'INGRESOS '!AC16</f>
        <v>79872000</v>
      </c>
      <c r="AA7" s="24">
        <f>+'INGRESOS '!AD16</f>
        <v>79872000</v>
      </c>
      <c r="AB7" s="24">
        <f>+'INGRESOS '!AE16</f>
        <v>79872000</v>
      </c>
      <c r="AC7" s="24">
        <f>+AB7</f>
        <v>79872000</v>
      </c>
      <c r="AD7" s="24">
        <f>+'INGRESOS '!AG16</f>
        <v>83066880</v>
      </c>
      <c r="AE7" s="24">
        <f>+'INGRESOS '!AH16</f>
        <v>83066880</v>
      </c>
      <c r="AF7" s="24">
        <f>+'INGRESOS '!AI16</f>
        <v>83066880</v>
      </c>
      <c r="AG7" s="24">
        <f>+'INGRESOS '!AJ16</f>
        <v>83066880</v>
      </c>
      <c r="AH7" s="24">
        <f>+'INGRESOS '!AK16</f>
        <v>83066880</v>
      </c>
      <c r="AI7" s="24">
        <f>+'INGRESOS '!AL16</f>
        <v>83066880</v>
      </c>
      <c r="AJ7" s="24">
        <f>+'INGRESOS '!AM16</f>
        <v>83066880</v>
      </c>
      <c r="AK7" s="24">
        <f>+'INGRESOS '!AN16</f>
        <v>83066880</v>
      </c>
      <c r="AL7" s="24">
        <f>+'INGRESOS '!AO16</f>
        <v>83066880</v>
      </c>
      <c r="AM7" s="24">
        <f>+'INGRESOS '!AP16</f>
        <v>83066880</v>
      </c>
      <c r="AN7" s="24">
        <f>+'INGRESOS '!AQ16</f>
        <v>83066880</v>
      </c>
      <c r="AO7" s="24">
        <f>+'INGRESOS '!AR16</f>
        <v>83066880</v>
      </c>
      <c r="AP7" s="24">
        <f>+AO7</f>
        <v>83066880</v>
      </c>
      <c r="AQ7" s="24">
        <f>+'INGRESOS '!AT16</f>
        <v>86389440</v>
      </c>
      <c r="AR7" s="24">
        <f>+'INGRESOS '!AU16</f>
        <v>86389440</v>
      </c>
      <c r="AS7" s="24">
        <f>+'INGRESOS '!AV16</f>
        <v>86389440</v>
      </c>
      <c r="AT7" s="24">
        <f>+'INGRESOS '!AW16</f>
        <v>86389440</v>
      </c>
      <c r="AU7" s="24">
        <f>+'INGRESOS '!AX16</f>
        <v>86389440</v>
      </c>
      <c r="AV7" s="24">
        <f>+'INGRESOS '!AY16</f>
        <v>86389440</v>
      </c>
      <c r="AW7" s="24">
        <f>+'INGRESOS '!AZ16</f>
        <v>86389440</v>
      </c>
      <c r="AX7" s="24">
        <f>+'INGRESOS '!BA16</f>
        <v>86389440</v>
      </c>
      <c r="AY7" s="24">
        <f>+'INGRESOS '!BB16</f>
        <v>86389440</v>
      </c>
      <c r="AZ7" s="24">
        <f>+'INGRESOS '!BC16</f>
        <v>86389440</v>
      </c>
      <c r="BA7" s="24">
        <f>+'INGRESOS '!BD16</f>
        <v>86389440</v>
      </c>
      <c r="BB7" s="24">
        <f>+'INGRESOS '!BE16</f>
        <v>86389440</v>
      </c>
      <c r="BC7" s="24">
        <f>+BB7</f>
        <v>86389440</v>
      </c>
      <c r="BD7" s="24">
        <f>+'INGRESOS '!BG16</f>
        <v>89845440</v>
      </c>
      <c r="BE7" s="24">
        <f>+'INGRESOS '!BH16</f>
        <v>89845440</v>
      </c>
      <c r="BF7" s="24">
        <f>+'INGRESOS '!BI16</f>
        <v>89845440</v>
      </c>
      <c r="BG7" s="24">
        <f>+'INGRESOS '!BJ16</f>
        <v>89845440</v>
      </c>
      <c r="BH7" s="24">
        <f>+'INGRESOS '!BK16</f>
        <v>89845440</v>
      </c>
      <c r="BI7" s="24">
        <f>+'INGRESOS '!BL16</f>
        <v>89845440</v>
      </c>
      <c r="BJ7" s="24">
        <f>+'INGRESOS '!BM16</f>
        <v>89845440</v>
      </c>
      <c r="BK7" s="24">
        <f>+'INGRESOS '!BN16</f>
        <v>89845440</v>
      </c>
      <c r="BL7" s="24">
        <f>+'INGRESOS '!BO16</f>
        <v>89845440</v>
      </c>
      <c r="BM7" s="24">
        <f>+'INGRESOS '!BP16</f>
        <v>89845440</v>
      </c>
      <c r="BN7" s="24">
        <f>+'INGRESOS '!BQ16</f>
        <v>89845440</v>
      </c>
      <c r="BO7" s="24">
        <f>+'INGRESOS '!BR16</f>
        <v>89845440</v>
      </c>
      <c r="BP7" s="24">
        <f>+BO7</f>
        <v>89845440</v>
      </c>
    </row>
    <row r="8" spans="2:68" x14ac:dyDescent="0.25">
      <c r="C8" s="42" t="s">
        <v>172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f>+O8</f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f>+AB8</f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f>+AO8</f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f>+BB8</f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f>+BO8</f>
        <v>0</v>
      </c>
    </row>
    <row r="9" spans="2:68" x14ac:dyDescent="0.25"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</row>
    <row r="10" spans="2:68" x14ac:dyDescent="0.25">
      <c r="C10" s="26" t="s">
        <v>178</v>
      </c>
      <c r="D10" s="50">
        <f>SUM(D5:D9)</f>
        <v>68369546</v>
      </c>
      <c r="E10" s="50">
        <f t="shared" ref="E10:O10" si="4">SUM(E5:E9)</f>
        <v>65689469</v>
      </c>
      <c r="F10" s="50">
        <f t="shared" si="4"/>
        <v>64247771</v>
      </c>
      <c r="G10" s="50">
        <f t="shared" si="4"/>
        <v>61031980</v>
      </c>
      <c r="H10" s="50">
        <f t="shared" si="4"/>
        <v>59054568</v>
      </c>
      <c r="I10" s="50">
        <f t="shared" si="4"/>
        <v>56303063</v>
      </c>
      <c r="J10" s="50">
        <f t="shared" si="4"/>
        <v>58102338</v>
      </c>
      <c r="K10" s="50">
        <f t="shared" si="4"/>
        <v>63513861</v>
      </c>
      <c r="L10" s="50">
        <f t="shared" si="4"/>
        <v>71802144</v>
      </c>
      <c r="M10" s="50">
        <f t="shared" si="4"/>
        <v>75542239</v>
      </c>
      <c r="N10" s="50">
        <f t="shared" si="4"/>
        <v>82859093</v>
      </c>
      <c r="O10" s="50">
        <f t="shared" si="4"/>
        <v>86527759</v>
      </c>
      <c r="P10" s="50">
        <f>+O10</f>
        <v>86527759</v>
      </c>
      <c r="Q10" s="50">
        <f t="shared" ref="Q10:AB10" si="5">SUM(Q5:Q9)</f>
        <v>94108507</v>
      </c>
      <c r="R10" s="50">
        <f t="shared" si="5"/>
        <v>96902699</v>
      </c>
      <c r="S10" s="50">
        <f t="shared" si="5"/>
        <v>95210149</v>
      </c>
      <c r="T10" s="50">
        <f t="shared" si="5"/>
        <v>83372085</v>
      </c>
      <c r="U10" s="50">
        <f t="shared" si="5"/>
        <v>88672107</v>
      </c>
      <c r="V10" s="50">
        <f t="shared" si="5"/>
        <v>90259442</v>
      </c>
      <c r="W10" s="50">
        <f t="shared" si="5"/>
        <v>84913812</v>
      </c>
      <c r="X10" s="50">
        <f t="shared" si="5"/>
        <v>91719423</v>
      </c>
      <c r="Y10" s="50">
        <f t="shared" si="5"/>
        <v>103222920</v>
      </c>
      <c r="Z10" s="50">
        <f t="shared" si="5"/>
        <v>110233388</v>
      </c>
      <c r="AA10" s="50">
        <f t="shared" si="5"/>
        <v>120277742</v>
      </c>
      <c r="AB10" s="50">
        <f t="shared" si="5"/>
        <v>125701067</v>
      </c>
      <c r="AC10" s="50">
        <f>+AB10</f>
        <v>125701067</v>
      </c>
      <c r="AD10" s="50">
        <f t="shared" ref="AD10:AO10" si="6">SUM(AD5:AD9)</f>
        <v>137172132.80000001</v>
      </c>
      <c r="AE10" s="50">
        <f t="shared" si="6"/>
        <v>141718003.59999999</v>
      </c>
      <c r="AF10" s="50">
        <f t="shared" si="6"/>
        <v>139212619.39999998</v>
      </c>
      <c r="AG10" s="50">
        <f t="shared" si="6"/>
        <v>88009335.200000003</v>
      </c>
      <c r="AH10" s="50">
        <f t="shared" si="6"/>
        <v>96470728</v>
      </c>
      <c r="AI10" s="50">
        <f t="shared" si="6"/>
        <v>98208392.799999997</v>
      </c>
      <c r="AJ10" s="50">
        <f t="shared" si="6"/>
        <v>107968723.59999999</v>
      </c>
      <c r="AK10" s="50">
        <f t="shared" si="6"/>
        <v>129497496.39999999</v>
      </c>
      <c r="AL10" s="50">
        <f t="shared" si="6"/>
        <v>156455014.19999999</v>
      </c>
      <c r="AM10" s="50">
        <f t="shared" si="6"/>
        <v>179282725</v>
      </c>
      <c r="AN10" s="50">
        <f t="shared" si="6"/>
        <v>204727019.79999998</v>
      </c>
      <c r="AO10" s="50">
        <f t="shared" si="6"/>
        <v>225447587.59999996</v>
      </c>
      <c r="AP10" s="50">
        <f>+AO10</f>
        <v>225447587.59999996</v>
      </c>
      <c r="AQ10" s="50">
        <f t="shared" ref="AQ10:BB10" si="7">SUM(AQ5:AQ9)</f>
        <v>254706188.39999998</v>
      </c>
      <c r="AR10" s="50">
        <f t="shared" si="7"/>
        <v>282715537.19999999</v>
      </c>
      <c r="AS10" s="50">
        <f t="shared" si="7"/>
        <v>303698232</v>
      </c>
      <c r="AT10" s="50">
        <f t="shared" si="7"/>
        <v>252476154.80000001</v>
      </c>
      <c r="AU10" s="50">
        <f t="shared" si="7"/>
        <v>284369389.60000002</v>
      </c>
      <c r="AV10" s="50">
        <f t="shared" si="7"/>
        <v>309626770.40000004</v>
      </c>
      <c r="AW10" s="50">
        <f t="shared" si="7"/>
        <v>342875180.20000005</v>
      </c>
      <c r="AX10" s="50">
        <f t="shared" si="7"/>
        <v>370563100.00000006</v>
      </c>
      <c r="AY10" s="50">
        <f t="shared" si="7"/>
        <v>403704366.80000007</v>
      </c>
      <c r="AZ10" s="50">
        <f t="shared" si="7"/>
        <v>432747461.60000008</v>
      </c>
      <c r="BA10" s="50">
        <f t="shared" si="7"/>
        <v>464319267.4000001</v>
      </c>
      <c r="BB10" s="50">
        <f t="shared" si="7"/>
        <v>491255220.20000011</v>
      </c>
      <c r="BC10" s="50">
        <f>+BB10</f>
        <v>491255220.20000011</v>
      </c>
      <c r="BD10" s="50">
        <f t="shared" ref="BD10:BO10" si="8">SUM(BD5:BD9)</f>
        <v>526818741.00000012</v>
      </c>
      <c r="BE10" s="50">
        <f t="shared" si="8"/>
        <v>556464362.80000019</v>
      </c>
      <c r="BF10" s="50">
        <f t="shared" si="8"/>
        <v>579108909.60000014</v>
      </c>
      <c r="BG10" s="50">
        <f t="shared" si="8"/>
        <v>519759145.40000015</v>
      </c>
      <c r="BH10" s="50">
        <f t="shared" si="8"/>
        <v>553255744.20000017</v>
      </c>
      <c r="BI10" s="50">
        <f t="shared" si="8"/>
        <v>580207885.00000024</v>
      </c>
      <c r="BJ10" s="50">
        <f t="shared" si="8"/>
        <v>615118146.80000019</v>
      </c>
      <c r="BK10" s="50">
        <f t="shared" si="8"/>
        <v>644442339.60000014</v>
      </c>
      <c r="BL10" s="50">
        <f t="shared" si="8"/>
        <v>679245458.4000001</v>
      </c>
      <c r="BM10" s="50">
        <f t="shared" si="8"/>
        <v>709983313.20000005</v>
      </c>
      <c r="BN10" s="50">
        <f t="shared" si="8"/>
        <v>743158484</v>
      </c>
      <c r="BO10" s="50">
        <f t="shared" si="8"/>
        <v>771789195.79999995</v>
      </c>
      <c r="BP10" s="50">
        <f>+BO10</f>
        <v>771789195.79999995</v>
      </c>
    </row>
    <row r="11" spans="2:68" x14ac:dyDescent="0.25"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</row>
    <row r="12" spans="2:68" x14ac:dyDescent="0.25">
      <c r="B12" s="26" t="s">
        <v>177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</row>
    <row r="13" spans="2:68" x14ac:dyDescent="0.25"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</row>
    <row r="14" spans="2:68" x14ac:dyDescent="0.25">
      <c r="C14" s="42" t="s">
        <v>176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f t="shared" ref="P14:P19" si="9">+O14</f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f t="shared" ref="AC14:AC19" si="10">+AB14</f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f t="shared" ref="AP14:AP19" si="11">+AO14</f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f t="shared" ref="BC14:BC19" si="12">+BB14</f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f t="shared" ref="BP14:BP19" si="13">+BO14</f>
        <v>0</v>
      </c>
    </row>
    <row r="15" spans="2:68" x14ac:dyDescent="0.25">
      <c r="C15" t="s">
        <v>175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f t="shared" si="9"/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f t="shared" si="10"/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f t="shared" si="11"/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f t="shared" si="12"/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f t="shared" si="13"/>
        <v>0</v>
      </c>
    </row>
    <row r="16" spans="2:68" x14ac:dyDescent="0.25">
      <c r="C16" t="s">
        <v>174</v>
      </c>
      <c r="D16" s="24">
        <f>+'VEHICULOS '!D5*'VEHICULOS '!D6+ADMINISTRATIVOS!C5+ADMINISTRATIVOS!C6</f>
        <v>161000000</v>
      </c>
      <c r="E16" s="24">
        <f>+'VEHICULOS '!E5*'VEHICULOS '!E6+ADMINISTRATIVOS!D5+ADMINISTRATIVOS!D6</f>
        <v>161000000</v>
      </c>
      <c r="F16" s="24">
        <f>+'VEHICULOS '!F5*'VEHICULOS '!F6+ADMINISTRATIVOS!E5+ADMINISTRATIVOS!E6</f>
        <v>161000000</v>
      </c>
      <c r="G16" s="24">
        <f>+'VEHICULOS '!G5*'VEHICULOS '!G6+ADMINISTRATIVOS!F5+ADMINISTRATIVOS!F6</f>
        <v>161000000</v>
      </c>
      <c r="H16" s="24">
        <f>+'VEHICULOS '!H5*'VEHICULOS '!H6+ADMINISTRATIVOS!G5+ADMINISTRATIVOS!G6</f>
        <v>161000000</v>
      </c>
      <c r="I16" s="24">
        <f>+'VEHICULOS '!I5*'VEHICULOS '!I6+ADMINISTRATIVOS!H5+ADMINISTRATIVOS!H6</f>
        <v>161000000</v>
      </c>
      <c r="J16" s="24">
        <f>+'VEHICULOS '!J5*'VEHICULOS '!J6+ADMINISTRATIVOS!I5+ADMINISTRATIVOS!I6</f>
        <v>311000000</v>
      </c>
      <c r="K16" s="24">
        <f>+'VEHICULOS '!K5*'VEHICULOS '!K6+ADMINISTRATIVOS!J5+ADMINISTRATIVOS!J6</f>
        <v>311000000</v>
      </c>
      <c r="L16" s="24">
        <f>+'VEHICULOS '!L5*'VEHICULOS '!L6+ADMINISTRATIVOS!K5+ADMINISTRATIVOS!K6</f>
        <v>311000000</v>
      </c>
      <c r="M16" s="24">
        <f>+'VEHICULOS '!M5*'VEHICULOS '!M6+ADMINISTRATIVOS!L5+ADMINISTRATIVOS!L6</f>
        <v>311000000</v>
      </c>
      <c r="N16" s="24">
        <f>+'VEHICULOS '!N5*'VEHICULOS '!N6+ADMINISTRATIVOS!M5+ADMINISTRATIVOS!M6</f>
        <v>311000000</v>
      </c>
      <c r="O16" s="24">
        <f>+'VEHICULOS '!O5*'VEHICULOS '!O6+ADMINISTRATIVOS!N5+ADMINISTRATIVOS!N6</f>
        <v>311000000</v>
      </c>
      <c r="P16" s="24">
        <f t="shared" si="9"/>
        <v>311000000</v>
      </c>
      <c r="Q16" s="24">
        <f>+'VEHICULOS '!Q5*'VEHICULOS '!Q6+ADMINISTRATIVOS!P5+ADMINISTRATIVOS!P6</f>
        <v>311000000</v>
      </c>
      <c r="R16" s="24">
        <f>+'VEHICULOS '!R5*'VEHICULOS '!R6+ADMINISTRATIVOS!Q5+ADMINISTRATIVOS!Q6</f>
        <v>311000000</v>
      </c>
      <c r="S16" s="24">
        <f>+'VEHICULOS '!S5*'VEHICULOS '!S6+ADMINISTRATIVOS!R5+ADMINISTRATIVOS!R6</f>
        <v>311000000</v>
      </c>
      <c r="T16" s="24">
        <f>+'VEHICULOS '!T5*'VEHICULOS '!T6+ADMINISTRATIVOS!S5+ADMINISTRATIVOS!S6</f>
        <v>311000000</v>
      </c>
      <c r="U16" s="24">
        <f>+'VEHICULOS '!U5*'VEHICULOS '!U6+ADMINISTRATIVOS!T5+ADMINISTRATIVOS!T6</f>
        <v>311000000</v>
      </c>
      <c r="V16" s="24">
        <f>+'VEHICULOS '!V5*'VEHICULOS '!V6+ADMINISTRATIVOS!U5+ADMINISTRATIVOS!U6</f>
        <v>311000000</v>
      </c>
      <c r="W16" s="24">
        <f>+'VEHICULOS '!W5*'VEHICULOS '!W6+ADMINISTRATIVOS!V5+ADMINISTRATIVOS!V6</f>
        <v>461000000</v>
      </c>
      <c r="X16" s="24">
        <f>+'VEHICULOS '!X5*'VEHICULOS '!X6+ADMINISTRATIVOS!W5+ADMINISTRATIVOS!W6</f>
        <v>461000000</v>
      </c>
      <c r="Y16" s="24">
        <f>+'VEHICULOS '!Y5*'VEHICULOS '!Y6+ADMINISTRATIVOS!X5+ADMINISTRATIVOS!X6</f>
        <v>461000000</v>
      </c>
      <c r="Z16" s="24">
        <f>+'VEHICULOS '!Z5*'VEHICULOS '!Z6+ADMINISTRATIVOS!Y5+ADMINISTRATIVOS!Y6</f>
        <v>461000000</v>
      </c>
      <c r="AA16" s="24">
        <f>+'VEHICULOS '!AA5*'VEHICULOS '!AA6+ADMINISTRATIVOS!Z5+ADMINISTRATIVOS!Z6</f>
        <v>461000000</v>
      </c>
      <c r="AB16" s="24">
        <f>+'VEHICULOS '!AB5*'VEHICULOS '!AB6+ADMINISTRATIVOS!AA5+ADMINISTRATIVOS!AA6</f>
        <v>461000000</v>
      </c>
      <c r="AC16" s="24">
        <f t="shared" si="10"/>
        <v>461000000</v>
      </c>
      <c r="AD16" s="24">
        <f>+'VEHICULOS '!AD5*'VEHICULOS '!AD6+ADMINISTRATIVOS!AC5+ADMINISTRATIVOS!AC6</f>
        <v>461000000</v>
      </c>
      <c r="AE16" s="24">
        <f>+'VEHICULOS '!AE5*'VEHICULOS '!AE6+ADMINISTRATIVOS!AD5+ADMINISTRATIVOS!AD6</f>
        <v>461000000</v>
      </c>
      <c r="AF16" s="24">
        <f>+'VEHICULOS '!AF5*'VEHICULOS '!AF6+ADMINISTRATIVOS!AE5+ADMINISTRATIVOS!AE6</f>
        <v>461000000</v>
      </c>
      <c r="AG16" s="24">
        <f>+'VEHICULOS '!AG5*'VEHICULOS '!AG6+ADMINISTRATIVOS!AF5+ADMINISTRATIVOS!AF6</f>
        <v>461000000</v>
      </c>
      <c r="AH16" s="24">
        <f>+'VEHICULOS '!AH5*'VEHICULOS '!AH6+ADMINISTRATIVOS!AG5+ADMINISTRATIVOS!AG6</f>
        <v>461000000</v>
      </c>
      <c r="AI16" s="24">
        <f>+'VEHICULOS '!AI5*'VEHICULOS '!AI6+ADMINISTRATIVOS!AH5+ADMINISTRATIVOS!AH6</f>
        <v>461000000</v>
      </c>
      <c r="AJ16" s="24">
        <f>+'VEHICULOS '!AJ5*'VEHICULOS '!AJ6+ADMINISTRATIVOS!AI5+ADMINISTRATIVOS!AI6</f>
        <v>461000000</v>
      </c>
      <c r="AK16" s="24">
        <f>+'VEHICULOS '!AK5*'VEHICULOS '!AK6+ADMINISTRATIVOS!AJ5+ADMINISTRATIVOS!AJ6</f>
        <v>461000000</v>
      </c>
      <c r="AL16" s="24">
        <f>+'VEHICULOS '!AL5*'VEHICULOS '!AL6+ADMINISTRATIVOS!AK5+ADMINISTRATIVOS!AK6</f>
        <v>461000000</v>
      </c>
      <c r="AM16" s="24">
        <f>+'VEHICULOS '!AM5*'VEHICULOS '!AM6+ADMINISTRATIVOS!AL5+ADMINISTRATIVOS!AL6</f>
        <v>461000000</v>
      </c>
      <c r="AN16" s="24">
        <f>+'VEHICULOS '!AN5*'VEHICULOS '!AN6+ADMINISTRATIVOS!AM5+ADMINISTRATIVOS!AM6</f>
        <v>461000000</v>
      </c>
      <c r="AO16" s="24">
        <f>+'VEHICULOS '!AO5*'VEHICULOS '!AO6+ADMINISTRATIVOS!AN5+ADMINISTRATIVOS!AN6</f>
        <v>461000000</v>
      </c>
      <c r="AP16" s="24">
        <f t="shared" si="11"/>
        <v>461000000</v>
      </c>
      <c r="AQ16" s="24">
        <f>+'VEHICULOS '!AQ5*'VEHICULOS '!AQ6+ADMINISTRATIVOS!AP5+ADMINISTRATIVOS!AP6</f>
        <v>461000000</v>
      </c>
      <c r="AR16" s="24">
        <f>+'VEHICULOS '!AR5*'VEHICULOS '!AR6+ADMINISTRATIVOS!AQ5+ADMINISTRATIVOS!AQ6</f>
        <v>461000000</v>
      </c>
      <c r="AS16" s="24">
        <f>+'VEHICULOS '!AS5*'VEHICULOS '!AS6+ADMINISTRATIVOS!AR5+ADMINISTRATIVOS!AR6</f>
        <v>461000000</v>
      </c>
      <c r="AT16" s="24">
        <f>+'VEHICULOS '!AT5*'VEHICULOS '!AT6+ADMINISTRATIVOS!AS5+ADMINISTRATIVOS!AS6</f>
        <v>461000000</v>
      </c>
      <c r="AU16" s="24">
        <f>+'VEHICULOS '!AU5*'VEHICULOS '!AU6+ADMINISTRATIVOS!AT5+ADMINISTRATIVOS!AT6</f>
        <v>461000000</v>
      </c>
      <c r="AV16" s="24">
        <f>+'VEHICULOS '!AV5*'VEHICULOS '!AV6+ADMINISTRATIVOS!AU5+ADMINISTRATIVOS!AU6</f>
        <v>461000000</v>
      </c>
      <c r="AW16" s="24">
        <f>+'VEHICULOS '!AW5*'VEHICULOS '!AW6+ADMINISTRATIVOS!AV5+ADMINISTRATIVOS!AV6</f>
        <v>461000000</v>
      </c>
      <c r="AX16" s="24">
        <f>+'VEHICULOS '!AX5*'VEHICULOS '!AX6+ADMINISTRATIVOS!AW5+ADMINISTRATIVOS!AW6</f>
        <v>461000000</v>
      </c>
      <c r="AY16" s="24">
        <f>+'VEHICULOS '!AY5*'VEHICULOS '!AY6+ADMINISTRATIVOS!AX5+ADMINISTRATIVOS!AX6</f>
        <v>461000000</v>
      </c>
      <c r="AZ16" s="24">
        <f>+'VEHICULOS '!AZ5*'VEHICULOS '!AZ6+ADMINISTRATIVOS!AY5+ADMINISTRATIVOS!AY6</f>
        <v>461000000</v>
      </c>
      <c r="BA16" s="24">
        <f>+'VEHICULOS '!BA5*'VEHICULOS '!BA6+ADMINISTRATIVOS!AZ5+ADMINISTRATIVOS!AZ6</f>
        <v>461000000</v>
      </c>
      <c r="BB16" s="24">
        <f>+'VEHICULOS '!BB5*'VEHICULOS '!BB6+ADMINISTRATIVOS!BA5+ADMINISTRATIVOS!BA6</f>
        <v>461000000</v>
      </c>
      <c r="BC16" s="24">
        <f t="shared" si="12"/>
        <v>461000000</v>
      </c>
      <c r="BD16" s="24">
        <f>+'VEHICULOS '!BD5*'VEHICULOS '!BD6+ADMINISTRATIVOS!BC5+ADMINISTRATIVOS!BC6</f>
        <v>461000000</v>
      </c>
      <c r="BE16" s="24">
        <f>+'VEHICULOS '!BE5*'VEHICULOS '!BE6+ADMINISTRATIVOS!BD5+ADMINISTRATIVOS!BD6</f>
        <v>461000000</v>
      </c>
      <c r="BF16" s="24">
        <f>+'VEHICULOS '!BF5*'VEHICULOS '!BF6+ADMINISTRATIVOS!BE5+ADMINISTRATIVOS!BE6</f>
        <v>461000000</v>
      </c>
      <c r="BG16" s="24">
        <f>+'VEHICULOS '!BG5*'VEHICULOS '!BG6+ADMINISTRATIVOS!BF5+ADMINISTRATIVOS!BF6</f>
        <v>461000000</v>
      </c>
      <c r="BH16" s="24">
        <f>+'VEHICULOS '!BH5*'VEHICULOS '!BH6+ADMINISTRATIVOS!BG5+ADMINISTRATIVOS!BG6</f>
        <v>461000000</v>
      </c>
      <c r="BI16" s="24">
        <f>+'VEHICULOS '!BI5*'VEHICULOS '!BI6+ADMINISTRATIVOS!BH5+ADMINISTRATIVOS!BH6</f>
        <v>461000000</v>
      </c>
      <c r="BJ16" s="24">
        <f>+'VEHICULOS '!BJ5*'VEHICULOS '!BJ6+ADMINISTRATIVOS!BI5+ADMINISTRATIVOS!BI6</f>
        <v>461000000</v>
      </c>
      <c r="BK16" s="24">
        <f>+'VEHICULOS '!BK5*'VEHICULOS '!BK6+ADMINISTRATIVOS!BJ5+ADMINISTRATIVOS!BJ6</f>
        <v>461000000</v>
      </c>
      <c r="BL16" s="24">
        <f>+'VEHICULOS '!BL5*'VEHICULOS '!BL6+ADMINISTRATIVOS!BK5+ADMINISTRATIVOS!BK6</f>
        <v>461000000</v>
      </c>
      <c r="BM16" s="24">
        <f>+'VEHICULOS '!BM5*'VEHICULOS '!BM6+ADMINISTRATIVOS!BL5+ADMINISTRATIVOS!BL6</f>
        <v>461000000</v>
      </c>
      <c r="BN16" s="24">
        <f>+'VEHICULOS '!BN5*'VEHICULOS '!BN6+ADMINISTRATIVOS!BM5+ADMINISTRATIVOS!BM6</f>
        <v>461000000</v>
      </c>
      <c r="BO16" s="24">
        <f>+'VEHICULOS '!BO5*'VEHICULOS '!BO6+ADMINISTRATIVOS!BN5+ADMINISTRATIVOS!BN6</f>
        <v>461000000</v>
      </c>
      <c r="BP16" s="24">
        <f t="shared" si="13"/>
        <v>461000000</v>
      </c>
    </row>
    <row r="17" spans="2:68" x14ac:dyDescent="0.25">
      <c r="C17" t="s">
        <v>206</v>
      </c>
      <c r="D17" s="24">
        <f t="shared" ref="D17:O17" si="14">-D71</f>
        <v>-2716666.6666666665</v>
      </c>
      <c r="E17" s="24">
        <f t="shared" si="14"/>
        <v>-5433333.333333333</v>
      </c>
      <c r="F17" s="24">
        <f t="shared" si="14"/>
        <v>-8150000</v>
      </c>
      <c r="G17" s="24">
        <f t="shared" si="14"/>
        <v>-10866666.666666666</v>
      </c>
      <c r="H17" s="24">
        <f t="shared" si="14"/>
        <v>-13583333.333333332</v>
      </c>
      <c r="I17" s="24">
        <f t="shared" si="14"/>
        <v>-16299999.999999998</v>
      </c>
      <c r="J17" s="24">
        <f t="shared" si="14"/>
        <v>-21516666.666666668</v>
      </c>
      <c r="K17" s="24">
        <f t="shared" si="14"/>
        <v>-26733333.333333336</v>
      </c>
      <c r="L17" s="24">
        <f t="shared" si="14"/>
        <v>-31950000.000000004</v>
      </c>
      <c r="M17" s="24">
        <f t="shared" si="14"/>
        <v>-37166666.666666664</v>
      </c>
      <c r="N17" s="24">
        <f t="shared" si="14"/>
        <v>-42383333.333333328</v>
      </c>
      <c r="O17" s="24">
        <f t="shared" si="14"/>
        <v>-47599999.999999993</v>
      </c>
      <c r="P17" s="24">
        <f t="shared" si="9"/>
        <v>-47599999.999999993</v>
      </c>
      <c r="Q17" s="24">
        <f>+O17-Q71</f>
        <v>-52816666.666666657</v>
      </c>
      <c r="R17" s="24">
        <f t="shared" ref="R17:AB17" si="15">+$O$17-R71</f>
        <v>-58033333.333333328</v>
      </c>
      <c r="S17" s="24">
        <f t="shared" si="15"/>
        <v>-63249999.999999993</v>
      </c>
      <c r="T17" s="24">
        <f t="shared" si="15"/>
        <v>-68466666.666666657</v>
      </c>
      <c r="U17" s="24">
        <f t="shared" si="15"/>
        <v>-73683333.333333328</v>
      </c>
      <c r="V17" s="24">
        <f t="shared" si="15"/>
        <v>-78900000</v>
      </c>
      <c r="W17" s="24">
        <f t="shared" si="15"/>
        <v>-86616666.666666657</v>
      </c>
      <c r="X17" s="24">
        <f t="shared" si="15"/>
        <v>-94333333.333333313</v>
      </c>
      <c r="Y17" s="24">
        <f t="shared" si="15"/>
        <v>-102049999.99999999</v>
      </c>
      <c r="Z17" s="24">
        <f t="shared" si="15"/>
        <v>-109766666.66666666</v>
      </c>
      <c r="AA17" s="24">
        <f t="shared" si="15"/>
        <v>-117483333.33333331</v>
      </c>
      <c r="AB17" s="24">
        <f t="shared" si="15"/>
        <v>-125200000</v>
      </c>
      <c r="AC17" s="24">
        <f t="shared" si="10"/>
        <v>-125200000</v>
      </c>
      <c r="AD17" s="24">
        <f>+AB17-AD71</f>
        <v>-132916666.66666667</v>
      </c>
      <c r="AE17" s="24">
        <f t="shared" ref="AE17:AO17" si="16">+$AB$17-AE71</f>
        <v>-140633333.33333334</v>
      </c>
      <c r="AF17" s="24">
        <f t="shared" si="16"/>
        <v>-148350000</v>
      </c>
      <c r="AG17" s="24">
        <f t="shared" si="16"/>
        <v>-156066666.66666669</v>
      </c>
      <c r="AH17" s="24">
        <f t="shared" si="16"/>
        <v>-163783333.33333334</v>
      </c>
      <c r="AI17" s="24">
        <f t="shared" si="16"/>
        <v>-171500000</v>
      </c>
      <c r="AJ17" s="24">
        <f t="shared" si="16"/>
        <v>-179216666.66666666</v>
      </c>
      <c r="AK17" s="24">
        <f t="shared" si="16"/>
        <v>-186933333.33333331</v>
      </c>
      <c r="AL17" s="24">
        <f t="shared" si="16"/>
        <v>-194650000</v>
      </c>
      <c r="AM17" s="24">
        <f t="shared" si="16"/>
        <v>-202366666.66666669</v>
      </c>
      <c r="AN17" s="24">
        <f t="shared" si="16"/>
        <v>-210083333.33333334</v>
      </c>
      <c r="AO17" s="24">
        <f t="shared" si="16"/>
        <v>-217800000</v>
      </c>
      <c r="AP17" s="24">
        <f t="shared" si="11"/>
        <v>-217800000</v>
      </c>
      <c r="AQ17" s="24">
        <f>+AO17-AQ71</f>
        <v>-225433333.33333334</v>
      </c>
      <c r="AR17" s="24">
        <f>+$AO$17-AR71</f>
        <v>-233066666.66666666</v>
      </c>
      <c r="AS17" s="24">
        <f t="shared" ref="AS17:BB17" si="17">+$AO$17-AS71</f>
        <v>-240700000</v>
      </c>
      <c r="AT17" s="24">
        <f t="shared" si="17"/>
        <v>-248333333.33333331</v>
      </c>
      <c r="AU17" s="24">
        <f t="shared" si="17"/>
        <v>-255966666.66666666</v>
      </c>
      <c r="AV17" s="24">
        <f t="shared" si="17"/>
        <v>-263600000</v>
      </c>
      <c r="AW17" s="24">
        <f t="shared" si="17"/>
        <v>-271233333.33333331</v>
      </c>
      <c r="AX17" s="24">
        <f t="shared" si="17"/>
        <v>-278866666.66666669</v>
      </c>
      <c r="AY17" s="24">
        <f t="shared" si="17"/>
        <v>-286500000</v>
      </c>
      <c r="AZ17" s="24">
        <f t="shared" si="17"/>
        <v>-294133333.33333331</v>
      </c>
      <c r="BA17" s="24">
        <f t="shared" si="17"/>
        <v>-301766666.66666663</v>
      </c>
      <c r="BB17" s="24">
        <f t="shared" si="17"/>
        <v>-309400000</v>
      </c>
      <c r="BC17" s="24">
        <f t="shared" si="12"/>
        <v>-309400000</v>
      </c>
      <c r="BD17" s="24">
        <f>+BB17-BD71</f>
        <v>-317033333.33333331</v>
      </c>
      <c r="BE17" s="24">
        <f>+$BB$17-BE71</f>
        <v>-324666666.66666669</v>
      </c>
      <c r="BF17" s="24">
        <f t="shared" ref="BF17:BO17" si="18">+$BB$17-BF71</f>
        <v>-332300000</v>
      </c>
      <c r="BG17" s="24">
        <f t="shared" si="18"/>
        <v>-339933333.33333331</v>
      </c>
      <c r="BH17" s="24">
        <f t="shared" si="18"/>
        <v>-347566666.66666669</v>
      </c>
      <c r="BI17" s="24">
        <f t="shared" si="18"/>
        <v>-355200000</v>
      </c>
      <c r="BJ17" s="24">
        <f t="shared" si="18"/>
        <v>-362833333.33333331</v>
      </c>
      <c r="BK17" s="24">
        <f t="shared" si="18"/>
        <v>-370466666.66666669</v>
      </c>
      <c r="BL17" s="24">
        <f t="shared" si="18"/>
        <v>-378100000</v>
      </c>
      <c r="BM17" s="24">
        <f t="shared" si="18"/>
        <v>-385733333.33333331</v>
      </c>
      <c r="BN17" s="24">
        <f t="shared" si="18"/>
        <v>-393366666.66666663</v>
      </c>
      <c r="BO17" s="24">
        <f t="shared" si="18"/>
        <v>-401000000</v>
      </c>
      <c r="BP17" s="24">
        <f t="shared" si="13"/>
        <v>-401000000</v>
      </c>
    </row>
    <row r="18" spans="2:68" x14ac:dyDescent="0.25">
      <c r="C18" t="s">
        <v>173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f t="shared" si="9"/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f t="shared" si="10"/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f t="shared" si="11"/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f t="shared" si="12"/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f t="shared" si="13"/>
        <v>0</v>
      </c>
    </row>
    <row r="19" spans="2:68" x14ac:dyDescent="0.25">
      <c r="C19" s="42" t="s">
        <v>172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f t="shared" si="9"/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f t="shared" si="10"/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f t="shared" si="11"/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f t="shared" si="12"/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f t="shared" si="13"/>
        <v>0</v>
      </c>
    </row>
    <row r="20" spans="2:68" x14ac:dyDescent="0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</row>
    <row r="21" spans="2:68" ht="15.75" x14ac:dyDescent="0.25">
      <c r="C21" s="26" t="s">
        <v>171</v>
      </c>
      <c r="D21" s="50">
        <f>SUM(D14:D20)</f>
        <v>158283333.33333334</v>
      </c>
      <c r="E21" s="50">
        <f t="shared" ref="E21:AD21" si="19">SUM(E14:E20)</f>
        <v>155566666.66666666</v>
      </c>
      <c r="F21" s="50">
        <f t="shared" si="19"/>
        <v>152850000</v>
      </c>
      <c r="G21" s="50">
        <f t="shared" si="19"/>
        <v>150133333.33333334</v>
      </c>
      <c r="H21" s="50">
        <f t="shared" si="19"/>
        <v>147416666.66666666</v>
      </c>
      <c r="I21" s="50">
        <f t="shared" si="19"/>
        <v>144700000</v>
      </c>
      <c r="J21" s="50">
        <f t="shared" si="19"/>
        <v>289483333.33333331</v>
      </c>
      <c r="K21" s="50">
        <f t="shared" si="19"/>
        <v>284266666.66666669</v>
      </c>
      <c r="L21" s="50">
        <f t="shared" si="19"/>
        <v>279050000</v>
      </c>
      <c r="M21" s="50">
        <f t="shared" si="19"/>
        <v>273833333.33333331</v>
      </c>
      <c r="N21" s="50">
        <f t="shared" si="19"/>
        <v>268616666.66666669</v>
      </c>
      <c r="O21" s="50">
        <f t="shared" si="19"/>
        <v>263400000</v>
      </c>
      <c r="P21" s="52">
        <f>+O21</f>
        <v>263400000</v>
      </c>
      <c r="Q21" s="50">
        <f t="shared" si="19"/>
        <v>258183333.33333334</v>
      </c>
      <c r="R21" s="50">
        <f t="shared" si="19"/>
        <v>252966666.66666669</v>
      </c>
      <c r="S21" s="50">
        <f t="shared" si="19"/>
        <v>247750000</v>
      </c>
      <c r="T21" s="50">
        <f t="shared" si="19"/>
        <v>242533333.33333334</v>
      </c>
      <c r="U21" s="50">
        <f t="shared" si="19"/>
        <v>237316666.66666669</v>
      </c>
      <c r="V21" s="50">
        <f t="shared" si="19"/>
        <v>232100000</v>
      </c>
      <c r="W21" s="50">
        <f t="shared" si="19"/>
        <v>374383333.33333337</v>
      </c>
      <c r="X21" s="50">
        <f t="shared" si="19"/>
        <v>366666666.66666669</v>
      </c>
      <c r="Y21" s="50">
        <f t="shared" si="19"/>
        <v>358950000</v>
      </c>
      <c r="Z21" s="50">
        <f t="shared" si="19"/>
        <v>351233333.33333337</v>
      </c>
      <c r="AA21" s="50">
        <f t="shared" si="19"/>
        <v>343516666.66666669</v>
      </c>
      <c r="AB21" s="50">
        <f t="shared" si="19"/>
        <v>335800000</v>
      </c>
      <c r="AC21" s="50">
        <f>+AB21</f>
        <v>335800000</v>
      </c>
      <c r="AD21" s="50">
        <f t="shared" si="19"/>
        <v>328083333.33333331</v>
      </c>
      <c r="AE21" s="50">
        <f t="shared" ref="AE21:AO21" si="20">SUM(AE14:AE20)</f>
        <v>320366666.66666663</v>
      </c>
      <c r="AF21" s="50">
        <f t="shared" si="20"/>
        <v>312650000</v>
      </c>
      <c r="AG21" s="50">
        <f t="shared" si="20"/>
        <v>304933333.33333331</v>
      </c>
      <c r="AH21" s="50">
        <f t="shared" si="20"/>
        <v>297216666.66666663</v>
      </c>
      <c r="AI21" s="50">
        <f t="shared" si="20"/>
        <v>289500000</v>
      </c>
      <c r="AJ21" s="50">
        <f t="shared" si="20"/>
        <v>281783333.33333337</v>
      </c>
      <c r="AK21" s="50">
        <f t="shared" si="20"/>
        <v>274066666.66666669</v>
      </c>
      <c r="AL21" s="50">
        <f t="shared" si="20"/>
        <v>266350000</v>
      </c>
      <c r="AM21" s="50">
        <f t="shared" si="20"/>
        <v>258633333.33333331</v>
      </c>
      <c r="AN21" s="50">
        <f t="shared" si="20"/>
        <v>250916666.66666666</v>
      </c>
      <c r="AO21" s="50">
        <f t="shared" si="20"/>
        <v>243200000</v>
      </c>
      <c r="AP21" s="50">
        <f>+AO21</f>
        <v>243200000</v>
      </c>
      <c r="AQ21" s="50">
        <f t="shared" ref="AQ21:BB21" si="21">SUM(AQ14:AQ20)</f>
        <v>235566666.66666666</v>
      </c>
      <c r="AR21" s="50">
        <f t="shared" si="21"/>
        <v>227933333.33333334</v>
      </c>
      <c r="AS21" s="50">
        <f t="shared" si="21"/>
        <v>220300000</v>
      </c>
      <c r="AT21" s="50">
        <f t="shared" si="21"/>
        <v>212666666.66666669</v>
      </c>
      <c r="AU21" s="50">
        <f t="shared" si="21"/>
        <v>205033333.33333334</v>
      </c>
      <c r="AV21" s="50">
        <f t="shared" si="21"/>
        <v>197400000</v>
      </c>
      <c r="AW21" s="50">
        <f t="shared" si="21"/>
        <v>189766666.66666669</v>
      </c>
      <c r="AX21" s="50">
        <f t="shared" si="21"/>
        <v>182133333.33333331</v>
      </c>
      <c r="AY21" s="50">
        <f t="shared" si="21"/>
        <v>174500000</v>
      </c>
      <c r="AZ21" s="50">
        <f t="shared" si="21"/>
        <v>166866666.66666669</v>
      </c>
      <c r="BA21" s="50">
        <f t="shared" si="21"/>
        <v>159233333.33333337</v>
      </c>
      <c r="BB21" s="50">
        <f t="shared" si="21"/>
        <v>151600000</v>
      </c>
      <c r="BC21" s="50">
        <f>+BB21</f>
        <v>151600000</v>
      </c>
      <c r="BD21" s="50">
        <f t="shared" ref="BD21:BO21" si="22">SUM(BD14:BD20)</f>
        <v>143966666.66666669</v>
      </c>
      <c r="BE21" s="50">
        <f t="shared" si="22"/>
        <v>136333333.33333331</v>
      </c>
      <c r="BF21" s="50">
        <f t="shared" si="22"/>
        <v>128700000</v>
      </c>
      <c r="BG21" s="50">
        <f t="shared" si="22"/>
        <v>121066666.66666669</v>
      </c>
      <c r="BH21" s="50">
        <f t="shared" si="22"/>
        <v>113433333.33333331</v>
      </c>
      <c r="BI21" s="50">
        <f t="shared" si="22"/>
        <v>105800000</v>
      </c>
      <c r="BJ21" s="50">
        <f t="shared" si="22"/>
        <v>98166666.666666687</v>
      </c>
      <c r="BK21" s="50">
        <f t="shared" si="22"/>
        <v>90533333.333333313</v>
      </c>
      <c r="BL21" s="50">
        <f t="shared" si="22"/>
        <v>82900000</v>
      </c>
      <c r="BM21" s="50">
        <f t="shared" si="22"/>
        <v>75266666.666666687</v>
      </c>
      <c r="BN21" s="50">
        <f t="shared" si="22"/>
        <v>67633333.333333373</v>
      </c>
      <c r="BO21" s="50">
        <f t="shared" si="22"/>
        <v>60000000</v>
      </c>
      <c r="BP21" s="50">
        <f>+BO21</f>
        <v>60000000</v>
      </c>
    </row>
    <row r="22" spans="2:68" x14ac:dyDescent="0.25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</row>
    <row r="23" spans="2:68" ht="15.75" x14ac:dyDescent="0.25">
      <c r="B23" s="51" t="s">
        <v>170</v>
      </c>
      <c r="C23" s="51"/>
      <c r="D23" s="52">
        <f>+D10+D21</f>
        <v>226652879.33333334</v>
      </c>
      <c r="E23" s="52">
        <f t="shared" ref="E23:AO23" si="23">+E10+E21</f>
        <v>221256135.66666666</v>
      </c>
      <c r="F23" s="52">
        <f t="shared" si="23"/>
        <v>217097771</v>
      </c>
      <c r="G23" s="52">
        <f t="shared" si="23"/>
        <v>211165313.33333334</v>
      </c>
      <c r="H23" s="52">
        <f t="shared" si="23"/>
        <v>206471234.66666666</v>
      </c>
      <c r="I23" s="52">
        <f t="shared" si="23"/>
        <v>201003063</v>
      </c>
      <c r="J23" s="52">
        <f t="shared" si="23"/>
        <v>347585671.33333331</v>
      </c>
      <c r="K23" s="52">
        <f t="shared" si="23"/>
        <v>347780527.66666669</v>
      </c>
      <c r="L23" s="52">
        <f t="shared" si="23"/>
        <v>350852144</v>
      </c>
      <c r="M23" s="52">
        <f t="shared" si="23"/>
        <v>349375572.33333331</v>
      </c>
      <c r="N23" s="52">
        <f t="shared" si="23"/>
        <v>351475759.66666669</v>
      </c>
      <c r="O23" s="52">
        <f t="shared" si="23"/>
        <v>349927759</v>
      </c>
      <c r="P23" s="52">
        <f>+O23</f>
        <v>349927759</v>
      </c>
      <c r="Q23" s="52">
        <f t="shared" si="23"/>
        <v>352291840.33333337</v>
      </c>
      <c r="R23" s="52">
        <f t="shared" si="23"/>
        <v>349869365.66666669</v>
      </c>
      <c r="S23" s="52">
        <f t="shared" si="23"/>
        <v>342960149</v>
      </c>
      <c r="T23" s="52">
        <f t="shared" si="23"/>
        <v>325905418.33333337</v>
      </c>
      <c r="U23" s="52">
        <f t="shared" si="23"/>
        <v>325988773.66666669</v>
      </c>
      <c r="V23" s="52">
        <f t="shared" si="23"/>
        <v>322359442</v>
      </c>
      <c r="W23" s="52">
        <f t="shared" si="23"/>
        <v>459297145.33333337</v>
      </c>
      <c r="X23" s="52">
        <f t="shared" si="23"/>
        <v>458386089.66666669</v>
      </c>
      <c r="Y23" s="52">
        <f t="shared" si="23"/>
        <v>462172920</v>
      </c>
      <c r="Z23" s="52">
        <f t="shared" si="23"/>
        <v>461466721.33333337</v>
      </c>
      <c r="AA23" s="52">
        <f t="shared" si="23"/>
        <v>463794408.66666669</v>
      </c>
      <c r="AB23" s="52">
        <f t="shared" si="23"/>
        <v>461501067</v>
      </c>
      <c r="AC23" s="52">
        <f>+AB23</f>
        <v>461501067</v>
      </c>
      <c r="AD23" s="52">
        <f t="shared" si="23"/>
        <v>465255466.13333333</v>
      </c>
      <c r="AE23" s="52">
        <f t="shared" si="23"/>
        <v>462084670.26666665</v>
      </c>
      <c r="AF23" s="52">
        <f t="shared" si="23"/>
        <v>451862619.39999998</v>
      </c>
      <c r="AG23" s="52">
        <f t="shared" si="23"/>
        <v>392942668.5333333</v>
      </c>
      <c r="AH23" s="52">
        <f t="shared" si="23"/>
        <v>393687394.66666663</v>
      </c>
      <c r="AI23" s="52">
        <f t="shared" si="23"/>
        <v>387708392.80000001</v>
      </c>
      <c r="AJ23" s="52">
        <f t="shared" si="23"/>
        <v>389752056.9333334</v>
      </c>
      <c r="AK23" s="52">
        <f t="shared" si="23"/>
        <v>403564163.06666666</v>
      </c>
      <c r="AL23" s="52">
        <f t="shared" si="23"/>
        <v>422805014.19999999</v>
      </c>
      <c r="AM23" s="52">
        <f t="shared" si="23"/>
        <v>437916058.33333331</v>
      </c>
      <c r="AN23" s="52">
        <f t="shared" si="23"/>
        <v>455643686.46666664</v>
      </c>
      <c r="AO23" s="52">
        <f t="shared" si="23"/>
        <v>468647587.59999996</v>
      </c>
      <c r="AP23" s="52">
        <f>+AO23</f>
        <v>468647587.59999996</v>
      </c>
      <c r="AQ23" s="52">
        <f t="shared" ref="AQ23:BB23" si="24">+AQ10+AQ21</f>
        <v>490272855.0666666</v>
      </c>
      <c r="AR23" s="52">
        <f t="shared" si="24"/>
        <v>510648870.5333333</v>
      </c>
      <c r="AS23" s="52">
        <f t="shared" si="24"/>
        <v>523998232</v>
      </c>
      <c r="AT23" s="52">
        <f t="shared" si="24"/>
        <v>465142821.4666667</v>
      </c>
      <c r="AU23" s="52">
        <f t="shared" si="24"/>
        <v>489402722.9333334</v>
      </c>
      <c r="AV23" s="52">
        <f t="shared" si="24"/>
        <v>507026770.40000004</v>
      </c>
      <c r="AW23" s="52">
        <f t="shared" si="24"/>
        <v>532641846.86666673</v>
      </c>
      <c r="AX23" s="52">
        <f t="shared" si="24"/>
        <v>552696433.33333337</v>
      </c>
      <c r="AY23" s="52">
        <f t="shared" si="24"/>
        <v>578204366.80000007</v>
      </c>
      <c r="AZ23" s="52">
        <f t="shared" si="24"/>
        <v>599614128.26666677</v>
      </c>
      <c r="BA23" s="52">
        <f t="shared" si="24"/>
        <v>623552600.73333347</v>
      </c>
      <c r="BB23" s="52">
        <f t="shared" si="24"/>
        <v>642855220.20000005</v>
      </c>
      <c r="BC23" s="52">
        <f>+BB23</f>
        <v>642855220.20000005</v>
      </c>
      <c r="BD23" s="52">
        <f t="shared" ref="BD23:BO23" si="25">+BD10+BD21</f>
        <v>670785407.66666675</v>
      </c>
      <c r="BE23" s="52">
        <f t="shared" si="25"/>
        <v>692797696.13333344</v>
      </c>
      <c r="BF23" s="52">
        <f t="shared" si="25"/>
        <v>707808909.60000014</v>
      </c>
      <c r="BG23" s="52">
        <f t="shared" si="25"/>
        <v>640825812.06666684</v>
      </c>
      <c r="BH23" s="52">
        <f t="shared" si="25"/>
        <v>666689077.53333354</v>
      </c>
      <c r="BI23" s="52">
        <f t="shared" si="25"/>
        <v>686007885.00000024</v>
      </c>
      <c r="BJ23" s="52">
        <f t="shared" si="25"/>
        <v>713284813.46666694</v>
      </c>
      <c r="BK23" s="52">
        <f t="shared" si="25"/>
        <v>734975672.9333334</v>
      </c>
      <c r="BL23" s="52">
        <f t="shared" si="25"/>
        <v>762145458.4000001</v>
      </c>
      <c r="BM23" s="52">
        <f t="shared" si="25"/>
        <v>785249979.86666679</v>
      </c>
      <c r="BN23" s="52">
        <f t="shared" si="25"/>
        <v>810791817.33333337</v>
      </c>
      <c r="BO23" s="52">
        <f t="shared" si="25"/>
        <v>831789195.79999995</v>
      </c>
      <c r="BP23" s="52">
        <f>+BO23</f>
        <v>831789195.79999995</v>
      </c>
    </row>
    <row r="24" spans="2:68" x14ac:dyDescent="0.2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</row>
    <row r="25" spans="2:68" x14ac:dyDescent="0.25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</row>
    <row r="26" spans="2:68" x14ac:dyDescent="0.25">
      <c r="B26" s="26" t="s">
        <v>169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</row>
    <row r="27" spans="2:68" x14ac:dyDescent="0.25">
      <c r="C27" t="s">
        <v>168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f>+O27</f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f>+AB27</f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f>+AO27</f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f>+BB27</f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f>+BO27</f>
        <v>0</v>
      </c>
    </row>
    <row r="28" spans="2:68" x14ac:dyDescent="0.25">
      <c r="C28" t="s">
        <v>167</v>
      </c>
      <c r="D28" s="24">
        <f>+NOMINA!D29-NOMINA!D11</f>
        <v>4641514</v>
      </c>
      <c r="E28" s="24">
        <f>+NOMINA!E29-NOMINA!E11</f>
        <v>4141514</v>
      </c>
      <c r="F28" s="24">
        <f>+NOMINA!F29-NOMINA!F11</f>
        <v>4141514</v>
      </c>
      <c r="G28" s="24">
        <f>+NOMINA!G29-NOMINA!G11</f>
        <v>4641514</v>
      </c>
      <c r="H28" s="24">
        <f>+NOMINA!H29-NOMINA!H11</f>
        <v>4141514</v>
      </c>
      <c r="I28" s="24">
        <f>+NOMINA!I29-NOMINA!I11</f>
        <v>4141514</v>
      </c>
      <c r="J28" s="24">
        <f>+NOMINA!J29-NOMINA!J11</f>
        <v>6730037</v>
      </c>
      <c r="K28" s="24">
        <f>+NOMINA!K29-NOMINA!K11</f>
        <v>5830037</v>
      </c>
      <c r="L28" s="24">
        <f>+NOMINA!L29-NOMINA!L11</f>
        <v>5830037</v>
      </c>
      <c r="M28" s="24">
        <f>+NOMINA!M29-NOMINA!M11</f>
        <v>6730037</v>
      </c>
      <c r="N28" s="24">
        <f>+NOMINA!N29-NOMINA!N11</f>
        <v>5830037</v>
      </c>
      <c r="O28" s="24">
        <f>+NOMINA!O29-NOMINA!O11</f>
        <v>5830037</v>
      </c>
      <c r="P28" s="24">
        <f>+O28</f>
        <v>5830037</v>
      </c>
      <c r="Q28" s="24">
        <f>+NOMINA!Q29-NOMINA!Q11</f>
        <v>7948404</v>
      </c>
      <c r="R28" s="24">
        <f>+NOMINA!R29-NOMINA!R11</f>
        <v>7012404</v>
      </c>
      <c r="S28" s="24">
        <f>+NOMINA!S29-NOMINA!S11</f>
        <v>7012404</v>
      </c>
      <c r="T28" s="24">
        <f>+NOMINA!T29-NOMINA!T11</f>
        <v>7948404</v>
      </c>
      <c r="U28" s="24">
        <f>+NOMINA!U29-NOMINA!U11</f>
        <v>7012404</v>
      </c>
      <c r="V28" s="24">
        <f>+NOMINA!V29-NOMINA!V11</f>
        <v>7012404</v>
      </c>
      <c r="W28" s="24">
        <f>+NOMINA!W29-NOMINA!W11</f>
        <v>10357568</v>
      </c>
      <c r="X28" s="24">
        <f>+NOMINA!X29-NOMINA!X11</f>
        <v>9005568</v>
      </c>
      <c r="Y28" s="24">
        <f>+NOMINA!Y29-NOMINA!Y11</f>
        <v>9005568</v>
      </c>
      <c r="Z28" s="24">
        <f>+NOMINA!Z29-NOMINA!Z11</f>
        <v>10357568</v>
      </c>
      <c r="AA28" s="24">
        <f>+NOMINA!AA29-NOMINA!AA11</f>
        <v>9005568</v>
      </c>
      <c r="AB28" s="24">
        <f>+NOMINA!AB29-NOMINA!AB11</f>
        <v>9005568</v>
      </c>
      <c r="AC28" s="24">
        <f>+AB28</f>
        <v>9005568</v>
      </c>
      <c r="AD28" s="24">
        <f>+NOMINA!AD29-NOMINA!AD11</f>
        <v>11770534</v>
      </c>
      <c r="AE28" s="24">
        <f>+NOMINA!AE29-NOMINA!AE11</f>
        <v>10364454</v>
      </c>
      <c r="AF28" s="24">
        <f>+NOMINA!AF29-NOMINA!AF11</f>
        <v>10364454</v>
      </c>
      <c r="AG28" s="24">
        <f>+NOMINA!AG29-NOMINA!AG11</f>
        <v>11770534</v>
      </c>
      <c r="AH28" s="24">
        <f>+NOMINA!AH29-NOMINA!AH11</f>
        <v>10364454</v>
      </c>
      <c r="AI28" s="24">
        <f>+NOMINA!AI29-NOMINA!AI11</f>
        <v>10364454</v>
      </c>
      <c r="AJ28" s="24">
        <f>+NOMINA!AJ29-NOMINA!AJ11</f>
        <v>11770534</v>
      </c>
      <c r="AK28" s="24">
        <f>+NOMINA!AK29-NOMINA!AK11</f>
        <v>10364454</v>
      </c>
      <c r="AL28" s="24">
        <f>+NOMINA!AL29-NOMINA!AL11</f>
        <v>10364454</v>
      </c>
      <c r="AM28" s="24">
        <f>+NOMINA!AM29-NOMINA!AM11</f>
        <v>11770534</v>
      </c>
      <c r="AN28" s="24">
        <f>+NOMINA!AN29-NOMINA!AN11</f>
        <v>10364454</v>
      </c>
      <c r="AO28" s="24">
        <f>+NOMINA!AO29-NOMINA!AO11</f>
        <v>10364454</v>
      </c>
      <c r="AP28" s="24">
        <f>+AO28</f>
        <v>10364454</v>
      </c>
      <c r="AQ28" s="24">
        <f>+NOMINA!AQ29-NOMINA!AQ11</f>
        <v>12124161</v>
      </c>
      <c r="AR28" s="24">
        <f>+NOMINA!AR29-NOMINA!AR11</f>
        <v>10661843</v>
      </c>
      <c r="AS28" s="24">
        <f>+NOMINA!AS29-NOMINA!AS11</f>
        <v>10661843</v>
      </c>
      <c r="AT28" s="24">
        <f>+NOMINA!AT29-NOMINA!AT11</f>
        <v>12124161</v>
      </c>
      <c r="AU28" s="24">
        <f>+NOMINA!AU29-NOMINA!AU11</f>
        <v>10661843</v>
      </c>
      <c r="AV28" s="24">
        <f>+NOMINA!AV29-NOMINA!AV11</f>
        <v>10661843</v>
      </c>
      <c r="AW28" s="24">
        <f>+NOMINA!AW29-NOMINA!AW11</f>
        <v>12124161</v>
      </c>
      <c r="AX28" s="24">
        <f>+NOMINA!AX29-NOMINA!AX11</f>
        <v>10661843</v>
      </c>
      <c r="AY28" s="24">
        <f>+NOMINA!AY29-NOMINA!AY11</f>
        <v>10661843</v>
      </c>
      <c r="AZ28" s="24">
        <f>+NOMINA!AZ29-NOMINA!AZ11</f>
        <v>12124161</v>
      </c>
      <c r="BA28" s="24">
        <f>+NOMINA!BA29-NOMINA!BA11</f>
        <v>10661843</v>
      </c>
      <c r="BB28" s="24">
        <f>+NOMINA!BB29-NOMINA!BB11</f>
        <v>10661843</v>
      </c>
      <c r="BC28" s="24">
        <f>+BB28</f>
        <v>10661843</v>
      </c>
      <c r="BD28" s="24">
        <f>+NOMINA!BD29-NOMINA!BD11</f>
        <v>12481571</v>
      </c>
      <c r="BE28" s="24">
        <f>+NOMINA!BE29-NOMINA!BE11</f>
        <v>10960766</v>
      </c>
      <c r="BF28" s="24">
        <f>+NOMINA!BF29-NOMINA!BF11</f>
        <v>10960766</v>
      </c>
      <c r="BG28" s="24">
        <f>+NOMINA!BG29-NOMINA!BG11</f>
        <v>12481571</v>
      </c>
      <c r="BH28" s="24">
        <f>+NOMINA!BH29-NOMINA!BH11</f>
        <v>10960766</v>
      </c>
      <c r="BI28" s="24">
        <f>+NOMINA!BI29-NOMINA!BI11</f>
        <v>10960766</v>
      </c>
      <c r="BJ28" s="24">
        <f>+NOMINA!BJ29-NOMINA!BJ11</f>
        <v>12481571</v>
      </c>
      <c r="BK28" s="24">
        <f>+NOMINA!BK29-NOMINA!BK11</f>
        <v>10960766</v>
      </c>
      <c r="BL28" s="24">
        <f>+NOMINA!BL29-NOMINA!BL11</f>
        <v>10960766</v>
      </c>
      <c r="BM28" s="24">
        <f>+NOMINA!BM29-NOMINA!BM11</f>
        <v>12481571</v>
      </c>
      <c r="BN28" s="24">
        <f>+NOMINA!BN29-NOMINA!BN11</f>
        <v>10960766</v>
      </c>
      <c r="BO28" s="24">
        <f>+NOMINA!BO29-NOMINA!BO11</f>
        <v>10960766</v>
      </c>
      <c r="BP28" s="24">
        <f>+BO28</f>
        <v>10960766</v>
      </c>
    </row>
    <row r="29" spans="2:68" x14ac:dyDescent="0.25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</row>
    <row r="30" spans="2:68" x14ac:dyDescent="0.25">
      <c r="C30" s="26" t="s">
        <v>166</v>
      </c>
      <c r="D30" s="50">
        <f>SUM(D27:D29)</f>
        <v>4641514</v>
      </c>
      <c r="E30" s="50">
        <f t="shared" ref="E30:Q30" si="26">SUM(E27:E29)</f>
        <v>4141514</v>
      </c>
      <c r="F30" s="50">
        <f t="shared" si="26"/>
        <v>4141514</v>
      </c>
      <c r="G30" s="50">
        <f t="shared" si="26"/>
        <v>4641514</v>
      </c>
      <c r="H30" s="50">
        <f t="shared" si="26"/>
        <v>4141514</v>
      </c>
      <c r="I30" s="50">
        <f t="shared" si="26"/>
        <v>4141514</v>
      </c>
      <c r="J30" s="50">
        <f t="shared" si="26"/>
        <v>6730037</v>
      </c>
      <c r="K30" s="50">
        <f t="shared" si="26"/>
        <v>5830037</v>
      </c>
      <c r="L30" s="50">
        <f t="shared" si="26"/>
        <v>5830037</v>
      </c>
      <c r="M30" s="50">
        <f t="shared" si="26"/>
        <v>6730037</v>
      </c>
      <c r="N30" s="50">
        <f t="shared" si="26"/>
        <v>5830037</v>
      </c>
      <c r="O30" s="50">
        <f t="shared" si="26"/>
        <v>5830037</v>
      </c>
      <c r="P30" s="50">
        <f>+O30</f>
        <v>5830037</v>
      </c>
      <c r="Q30" s="50">
        <f t="shared" si="26"/>
        <v>7948404</v>
      </c>
      <c r="R30" s="50">
        <f t="shared" ref="R30:AB30" si="27">SUM(R27:R29)</f>
        <v>7012404</v>
      </c>
      <c r="S30" s="50">
        <f t="shared" si="27"/>
        <v>7012404</v>
      </c>
      <c r="T30" s="50">
        <f t="shared" si="27"/>
        <v>7948404</v>
      </c>
      <c r="U30" s="50">
        <f t="shared" si="27"/>
        <v>7012404</v>
      </c>
      <c r="V30" s="50">
        <f t="shared" si="27"/>
        <v>7012404</v>
      </c>
      <c r="W30" s="50">
        <f t="shared" si="27"/>
        <v>10357568</v>
      </c>
      <c r="X30" s="50">
        <f t="shared" si="27"/>
        <v>9005568</v>
      </c>
      <c r="Y30" s="50">
        <f t="shared" si="27"/>
        <v>9005568</v>
      </c>
      <c r="Z30" s="50">
        <f t="shared" si="27"/>
        <v>10357568</v>
      </c>
      <c r="AA30" s="50">
        <f t="shared" si="27"/>
        <v>9005568</v>
      </c>
      <c r="AB30" s="50">
        <f t="shared" si="27"/>
        <v>9005568</v>
      </c>
      <c r="AC30" s="50">
        <f>+AB30</f>
        <v>9005568</v>
      </c>
      <c r="AD30" s="50">
        <f t="shared" ref="AD30:AO30" si="28">SUM(AD27:AD29)</f>
        <v>11770534</v>
      </c>
      <c r="AE30" s="50">
        <f t="shared" si="28"/>
        <v>10364454</v>
      </c>
      <c r="AF30" s="50">
        <f t="shared" si="28"/>
        <v>10364454</v>
      </c>
      <c r="AG30" s="50">
        <f t="shared" si="28"/>
        <v>11770534</v>
      </c>
      <c r="AH30" s="50">
        <f t="shared" si="28"/>
        <v>10364454</v>
      </c>
      <c r="AI30" s="50">
        <f t="shared" si="28"/>
        <v>10364454</v>
      </c>
      <c r="AJ30" s="50">
        <f t="shared" si="28"/>
        <v>11770534</v>
      </c>
      <c r="AK30" s="50">
        <f t="shared" si="28"/>
        <v>10364454</v>
      </c>
      <c r="AL30" s="50">
        <f t="shared" si="28"/>
        <v>10364454</v>
      </c>
      <c r="AM30" s="50">
        <f t="shared" si="28"/>
        <v>11770534</v>
      </c>
      <c r="AN30" s="50">
        <f t="shared" si="28"/>
        <v>10364454</v>
      </c>
      <c r="AO30" s="50">
        <f t="shared" si="28"/>
        <v>10364454</v>
      </c>
      <c r="AP30" s="50">
        <f>+AO30</f>
        <v>10364454</v>
      </c>
      <c r="AQ30" s="50">
        <f t="shared" ref="AQ30:BB30" si="29">SUM(AQ27:AQ29)</f>
        <v>12124161</v>
      </c>
      <c r="AR30" s="50">
        <f t="shared" si="29"/>
        <v>10661843</v>
      </c>
      <c r="AS30" s="50">
        <f t="shared" si="29"/>
        <v>10661843</v>
      </c>
      <c r="AT30" s="50">
        <f t="shared" si="29"/>
        <v>12124161</v>
      </c>
      <c r="AU30" s="50">
        <f t="shared" si="29"/>
        <v>10661843</v>
      </c>
      <c r="AV30" s="50">
        <f t="shared" si="29"/>
        <v>10661843</v>
      </c>
      <c r="AW30" s="50">
        <f t="shared" si="29"/>
        <v>12124161</v>
      </c>
      <c r="AX30" s="50">
        <f t="shared" si="29"/>
        <v>10661843</v>
      </c>
      <c r="AY30" s="50">
        <f t="shared" si="29"/>
        <v>10661843</v>
      </c>
      <c r="AZ30" s="50">
        <f t="shared" si="29"/>
        <v>12124161</v>
      </c>
      <c r="BA30" s="50">
        <f t="shared" si="29"/>
        <v>10661843</v>
      </c>
      <c r="BB30" s="50">
        <f t="shared" si="29"/>
        <v>10661843</v>
      </c>
      <c r="BC30" s="50">
        <f>+BB30</f>
        <v>10661843</v>
      </c>
      <c r="BD30" s="50">
        <f t="shared" ref="BD30:BO30" si="30">SUM(BD27:BD29)</f>
        <v>12481571</v>
      </c>
      <c r="BE30" s="50">
        <f t="shared" si="30"/>
        <v>10960766</v>
      </c>
      <c r="BF30" s="50">
        <f t="shared" si="30"/>
        <v>10960766</v>
      </c>
      <c r="BG30" s="50">
        <f t="shared" si="30"/>
        <v>12481571</v>
      </c>
      <c r="BH30" s="50">
        <f t="shared" si="30"/>
        <v>10960766</v>
      </c>
      <c r="BI30" s="50">
        <f t="shared" si="30"/>
        <v>10960766</v>
      </c>
      <c r="BJ30" s="50">
        <f t="shared" si="30"/>
        <v>12481571</v>
      </c>
      <c r="BK30" s="50">
        <f t="shared" si="30"/>
        <v>10960766</v>
      </c>
      <c r="BL30" s="50">
        <f t="shared" si="30"/>
        <v>10960766</v>
      </c>
      <c r="BM30" s="50">
        <f t="shared" si="30"/>
        <v>12481571</v>
      </c>
      <c r="BN30" s="50">
        <f t="shared" si="30"/>
        <v>10960766</v>
      </c>
      <c r="BO30" s="50">
        <f t="shared" si="30"/>
        <v>10960766</v>
      </c>
      <c r="BP30" s="50">
        <f>+BO30</f>
        <v>10960766</v>
      </c>
    </row>
    <row r="31" spans="2:68" x14ac:dyDescent="0.25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</row>
    <row r="32" spans="2:68" x14ac:dyDescent="0.25">
      <c r="B32" s="26" t="s">
        <v>165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</row>
    <row r="33" spans="2:68" x14ac:dyDescent="0.25">
      <c r="C33" s="42" t="s">
        <v>164</v>
      </c>
      <c r="D33" s="24">
        <f>+FINANCIACION!Y14</f>
        <v>135000000</v>
      </c>
      <c r="E33" s="24">
        <f>+FINANCIACION!Y15</f>
        <v>131979749</v>
      </c>
      <c r="F33" s="24">
        <f>+FINANCIACION!Y16</f>
        <v>128923255</v>
      </c>
      <c r="G33" s="24">
        <f>+FINANCIACION!Y17</f>
        <v>125830083</v>
      </c>
      <c r="H33" s="24">
        <f>+FINANCIACION!Y18</f>
        <v>122699793</v>
      </c>
      <c r="I33" s="24">
        <f>+FINANCIACION!Y19</f>
        <v>119531940</v>
      </c>
      <c r="J33" s="24">
        <f>+FINANCIACION!Y20</f>
        <v>251326072</v>
      </c>
      <c r="K33" s="24">
        <f>+FINANCIACION!Y21</f>
        <v>243194455</v>
      </c>
      <c r="L33" s="24">
        <f>+FINANCIACION!Y22</f>
        <v>234965259</v>
      </c>
      <c r="M33" s="24">
        <f>+FINANCIACION!Y23</f>
        <v>226637313</v>
      </c>
      <c r="N33" s="24">
        <f>+FINANCIACION!Y24</f>
        <v>218209431</v>
      </c>
      <c r="O33" s="24">
        <f>+FINANCIACION!Y25</f>
        <v>209680414</v>
      </c>
      <c r="P33" s="24">
        <f>+O33</f>
        <v>209680414</v>
      </c>
      <c r="Q33" s="24">
        <f>+FINANCIACION!Y26</f>
        <v>201049049</v>
      </c>
      <c r="R33" s="24">
        <f>+FINANCIACION!Y27</f>
        <v>192314108</v>
      </c>
      <c r="S33" s="24">
        <f>+FINANCIACION!Y28</f>
        <v>183474347</v>
      </c>
      <c r="T33" s="24">
        <f>+FINANCIACION!Y29</f>
        <v>174528510</v>
      </c>
      <c r="U33" s="24">
        <f>+FINANCIACION!Y30</f>
        <v>165475322</v>
      </c>
      <c r="V33" s="24">
        <f>+FINANCIACION!Y31</f>
        <v>156313496</v>
      </c>
      <c r="W33" s="24">
        <f>+FINANCIACION!Y32</f>
        <v>267041727</v>
      </c>
      <c r="X33" s="24">
        <f>+FINANCIACION!Y33</f>
        <v>248301646</v>
      </c>
      <c r="Y33" s="24">
        <f>+FINANCIACION!Y34</f>
        <v>229336683</v>
      </c>
      <c r="Z33" s="24">
        <f>+FINANCIACION!Y35</f>
        <v>210144141</v>
      </c>
      <c r="AA33" s="24">
        <f>+FINANCIACION!Y36</f>
        <v>190721288</v>
      </c>
      <c r="AB33" s="24">
        <f>+FINANCIACION!Y37</f>
        <v>171065361</v>
      </c>
      <c r="AC33" s="24">
        <f>+AB33</f>
        <v>171065361</v>
      </c>
      <c r="AD33" s="24">
        <f>+FINANCIACION!Y38</f>
        <v>151173563</v>
      </c>
      <c r="AE33" s="24">
        <f>+FINANCIACION!Y39</f>
        <v>131043064</v>
      </c>
      <c r="AF33" s="24">
        <f>+FINANCIACION!Y40</f>
        <v>110670998</v>
      </c>
      <c r="AG33" s="24">
        <f>+FINANCIACION!Y41</f>
        <v>90054468</v>
      </c>
      <c r="AH33" s="24">
        <f>+FINANCIACION!Y42</f>
        <v>69190539</v>
      </c>
      <c r="AI33" s="24">
        <f>+FINANCIACION!Y43</f>
        <v>48076243</v>
      </c>
      <c r="AJ33" s="24">
        <f>+FINANCIACION!Y44</f>
        <v>26708576</v>
      </c>
      <c r="AK33" s="24">
        <f>+FINANCIACION!Y45</f>
        <v>22388828</v>
      </c>
      <c r="AL33" s="24">
        <f>+FINANCIACION!Y46</f>
        <v>18017243</v>
      </c>
      <c r="AM33" s="24">
        <f>+FINANCIACION!Y47</f>
        <v>13593199</v>
      </c>
      <c r="AN33" s="24">
        <f>+FINANCIACION!Y48</f>
        <v>9116066</v>
      </c>
      <c r="AO33" s="24">
        <f>+FINANCIACION!Y49</f>
        <v>4585208</v>
      </c>
      <c r="AP33" s="24">
        <f>+AO33</f>
        <v>4585208</v>
      </c>
      <c r="AQ33" s="24">
        <f>+FINANCIACION!Y50</f>
        <v>-31</v>
      </c>
      <c r="AR33" s="24">
        <f>+FINANCIACION!Y51</f>
        <v>-8</v>
      </c>
      <c r="AS33" s="24">
        <f>+FINANCIACION!Y52</f>
        <v>-8</v>
      </c>
      <c r="AT33" s="24">
        <f>+FINANCIACION!Y53</f>
        <v>-8</v>
      </c>
      <c r="AU33" s="24">
        <f>+FINANCIACION!Y54</f>
        <v>-8</v>
      </c>
      <c r="AV33" s="24">
        <f>+FINANCIACION!Y55</f>
        <v>-8</v>
      </c>
      <c r="AW33" s="24">
        <f>+FINANCIACION!Y56</f>
        <v>-8</v>
      </c>
      <c r="AX33" s="24">
        <f>+FINANCIACION!Y57</f>
        <v>-8</v>
      </c>
      <c r="AY33" s="24">
        <f>+FINANCIACION!Y58</f>
        <v>-8</v>
      </c>
      <c r="AZ33" s="24">
        <f>+FINANCIACION!Y59</f>
        <v>-8</v>
      </c>
      <c r="BA33" s="24">
        <f>+FINANCIACION!Y60</f>
        <v>-8</v>
      </c>
      <c r="BB33" s="24">
        <f>+FINANCIACION!Y61</f>
        <v>-8</v>
      </c>
      <c r="BC33" s="24">
        <f>+BB33</f>
        <v>-8</v>
      </c>
      <c r="BD33" s="24">
        <f>+FINANCIACION!Y62</f>
        <v>-8</v>
      </c>
      <c r="BE33" s="24">
        <f>+FINANCIACION!Y63</f>
        <v>-9</v>
      </c>
      <c r="BF33" s="24">
        <f>+FINANCIACION!Y64</f>
        <v>-9</v>
      </c>
      <c r="BG33" s="24">
        <f>+FINANCIACION!Y65</f>
        <v>-9</v>
      </c>
      <c r="BH33" s="24">
        <f>+FINANCIACION!Y66</f>
        <v>-9</v>
      </c>
      <c r="BI33" s="24">
        <f>+FINANCIACION!Y67</f>
        <v>-9</v>
      </c>
      <c r="BJ33" s="24">
        <f>+FINANCIACION!Y68</f>
        <v>-9</v>
      </c>
      <c r="BK33" s="24">
        <f>+FINANCIACION!Y69</f>
        <v>0</v>
      </c>
      <c r="BL33" s="24">
        <f>+FINANCIACION!Y70</f>
        <v>0</v>
      </c>
      <c r="BM33" s="24">
        <f>+FINANCIACION!Y71</f>
        <v>0</v>
      </c>
      <c r="BN33" s="24">
        <f>+FINANCIACION!Y72</f>
        <v>0</v>
      </c>
      <c r="BO33" s="24">
        <f>+FINANCIACION!Y73</f>
        <v>0</v>
      </c>
      <c r="BP33" s="24">
        <f>+BO33</f>
        <v>0</v>
      </c>
    </row>
    <row r="34" spans="2:68" x14ac:dyDescent="0.25">
      <c r="C34" t="s">
        <v>163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f>+O34</f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f>+AB34</f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f>+AO34</f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f>+BB34</f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f>+BO34</f>
        <v>0</v>
      </c>
    </row>
    <row r="35" spans="2:68" x14ac:dyDescent="0.25">
      <c r="C35" s="42" t="s">
        <v>298</v>
      </c>
      <c r="D35" s="24">
        <f>+D73+D87</f>
        <v>121882</v>
      </c>
      <c r="E35" s="24">
        <f>+D35+E73+E87-D73-D87-'FLUJO CAJA'!E16</f>
        <v>243764</v>
      </c>
      <c r="F35" s="24">
        <f>+E35+F73+F87-E73-E87-'FLUJO CAJA'!F16</f>
        <v>121882</v>
      </c>
      <c r="G35" s="24">
        <f>+F35+G73+G87-F73-F87-'FLUJO CAJA'!G16</f>
        <v>243764</v>
      </c>
      <c r="H35" s="24">
        <f>+G35+H73+H87-G73-G87-'FLUJO CAJA'!H16</f>
        <v>121882</v>
      </c>
      <c r="I35" s="24">
        <f>+H35+I73+I87-H73-H87-'FLUJO CAJA'!I16</f>
        <v>243764</v>
      </c>
      <c r="J35" s="24">
        <f>+I35+J73+J87-I73-I87-'FLUJO CAJA'!J16</f>
        <v>243763</v>
      </c>
      <c r="K35" s="24">
        <f>+J35+K73+K87-J73-J87-'FLUJO CAJA'!K16</f>
        <v>3216134</v>
      </c>
      <c r="L35" s="24">
        <f>+K35+L73+L87-K73-K87-'FLUJO CAJA'!L16</f>
        <v>6782081</v>
      </c>
      <c r="M35" s="24">
        <f>+L35+M73+M87-L73-L87-'FLUJO CAJA'!M16</f>
        <v>8909356</v>
      </c>
      <c r="N35" s="24">
        <f>+M35+N73+N87-M73-M87-'FLUJO CAJA'!N16</f>
        <v>12517297</v>
      </c>
      <c r="O35" s="24">
        <f>+N35+O73+O87-N73-N87-'FLUJO CAJA'!O16</f>
        <v>14984354</v>
      </c>
      <c r="P35" s="24">
        <f>+O35</f>
        <v>14984354</v>
      </c>
      <c r="Q35" s="24">
        <f>+O35+Q73+Q87-'FLUJO CAJA'!Q16</f>
        <v>17757002</v>
      </c>
      <c r="R35" s="24">
        <f>+Q35+R73+R87-Q73-Q87-'FLUJO CAJA'!R16</f>
        <v>20318850</v>
      </c>
      <c r="S35" s="24">
        <f>+R35+S73+S87-R73-R87-'FLUJO CAJA'!S16</f>
        <v>15426076</v>
      </c>
      <c r="T35" s="24">
        <f>+S35+T73+T87-S73-S87-'FLUJO CAJA'!T16</f>
        <v>2898240</v>
      </c>
      <c r="U35" s="24">
        <f>+T35+U73+U87-T73-T87-'FLUJO CAJA'!U16</f>
        <v>6052325</v>
      </c>
      <c r="V35" s="24">
        <f>+U35+V73+V87-U73-U87-'FLUJO CAJA'!V16</f>
        <v>8047903</v>
      </c>
      <c r="W35" s="24">
        <f>+V35+W73+W87-V73-V87-'FLUJO CAJA'!W16</f>
        <v>15508197</v>
      </c>
      <c r="X35" s="24">
        <f>+W35+X73+X87-W73-W87-'FLUJO CAJA'!X16</f>
        <v>22092717</v>
      </c>
      <c r="Y35" s="24">
        <f>+X35+Y73+Y87-X73-X87-'FLUJO CAJA'!Y16</f>
        <v>29346028</v>
      </c>
      <c r="Z35" s="24">
        <f>+Y35+Z73+Z87-Y73-Y87-'FLUJO CAJA'!Z16</f>
        <v>35255142</v>
      </c>
      <c r="AA35" s="24">
        <f>+Z35+AA73+AA87-Z73-Z87-'FLUJO CAJA'!AA16</f>
        <v>42624199</v>
      </c>
      <c r="AB35" s="24">
        <f>+AA35+AB73+AB87-AA73-AA87-'FLUJO CAJA'!AB16</f>
        <v>48608634</v>
      </c>
      <c r="AC35" s="24">
        <f>+AB35</f>
        <v>48608634</v>
      </c>
      <c r="AD35" s="24">
        <f>+AB35+AD73+AD87-'FLUJO CAJA'!AD16</f>
        <v>55254850</v>
      </c>
      <c r="AE35" s="24">
        <f>+AD35+AE73+AE87-AD73-AD87-'FLUJO CAJA'!AE16</f>
        <v>61580531</v>
      </c>
      <c r="AF35" s="24">
        <f>+AE35+AF73+AF87-AE73-AE87-'FLUJO CAJA'!AF16</f>
        <v>56303464</v>
      </c>
      <c r="AG35" s="24">
        <f>+AF35+AG73+AG87-AF73-AF87-'FLUJO CAJA'!AG16</f>
        <v>6046080</v>
      </c>
      <c r="AH35" s="24">
        <f>+AG35+AH73+AH87-AG73-AG87-'FLUJO CAJA'!AH16</f>
        <v>13375969</v>
      </c>
      <c r="AI35" s="24">
        <f>+AH35+AI73+AI87-AH73-AH87-'FLUJO CAJA'!AI16</f>
        <v>18635589</v>
      </c>
      <c r="AJ35" s="24">
        <f>+AI35+AJ73+AJ87-AI73-AI87-'FLUJO CAJA'!AJ16</f>
        <v>25632349</v>
      </c>
      <c r="AK35" s="24">
        <f>+AJ35+AK73+AK87-AJ73-AJ87-'FLUJO CAJA'!AK16</f>
        <v>32344840</v>
      </c>
      <c r="AL35" s="24">
        <f>+AK35+AL73+AL87-AK73-AK87-'FLUJO CAJA'!AL16</f>
        <v>39871971</v>
      </c>
      <c r="AM35" s="24">
        <f>+AL35+AM73+AM87-AL73-AL87-'FLUJO CAJA'!AM16</f>
        <v>46119517</v>
      </c>
      <c r="AN35" s="24">
        <f>+AM35+AN73+AN87-AM73-AM87-'FLUJO CAJA'!AN16</f>
        <v>53646122</v>
      </c>
      <c r="AO35" s="24">
        <f>+AN35+AO73+AO87-AN73-AN87-'FLUJO CAJA'!AO16</f>
        <v>59697565</v>
      </c>
      <c r="AP35" s="24">
        <f>+AO35</f>
        <v>59697565</v>
      </c>
      <c r="AQ35" s="24">
        <f>+AO35+AQ73+AQ87-'FLUJO CAJA'!AQ16</f>
        <v>67511954</v>
      </c>
      <c r="AR35" s="24">
        <f>+AQ35+AR73+AR87-AQ73-AQ87-'FLUJO CAJA'!AR16</f>
        <v>74994175</v>
      </c>
      <c r="AS35" s="24">
        <f>+AR35+AS73+AS87-AR73-AR87-'FLUJO CAJA'!AS16</f>
        <v>70762293</v>
      </c>
      <c r="AT35" s="24">
        <f>+AS35+AT73+AT87-AS73-AS87-'FLUJO CAJA'!AT16</f>
        <v>-2056009</v>
      </c>
      <c r="AU35" s="24">
        <f>+AT35+AU73+AU87-AT73-AT87-'FLUJO CAJA'!AU16</f>
        <v>6156753</v>
      </c>
      <c r="AV35" s="24">
        <f>+AU35+AV73+AV87-AU73-AU87-'FLUJO CAJA'!AV16</f>
        <v>12248259</v>
      </c>
      <c r="AW35" s="24">
        <f>+AV35+AW73+AW87-AV73-AV87-'FLUJO CAJA'!AW16</f>
        <v>19943099</v>
      </c>
      <c r="AX35" s="24">
        <f>+AW35+AX73+AX87-AW73-AW87-'FLUJO CAJA'!AX16</f>
        <v>27319248</v>
      </c>
      <c r="AY35" s="24">
        <f>+AX35+AY73+AY87-AX73-AX87-'FLUJO CAJA'!AY16</f>
        <v>35461295</v>
      </c>
      <c r="AZ35" s="24">
        <f>+AY35+AZ73+AZ87-AY73-AY87-'FLUJO CAJA'!AZ16</f>
        <v>42319522</v>
      </c>
      <c r="BA35" s="24">
        <f>+AZ35+BA73+BA87-AZ73-AZ87-'FLUJO CAJA'!BA16</f>
        <v>50426212</v>
      </c>
      <c r="BB35" s="24">
        <f>+BA35+BB73+BB87-BA73-BA87-'FLUJO CAJA'!BB16</f>
        <v>57071648</v>
      </c>
      <c r="BC35" s="24">
        <f>+BB35</f>
        <v>57071648</v>
      </c>
      <c r="BD35" s="24">
        <f>+BB35+BD73+BD87-'FLUJO CAJA'!BD16</f>
        <v>65423553</v>
      </c>
      <c r="BE35" s="24">
        <f>+BD35+BE73+BE87-BD73-BD87-'FLUJO CAJA'!BE16</f>
        <v>73476069</v>
      </c>
      <c r="BF35" s="24">
        <f>+BE35+BF73+BF87-BE73-BE87-'FLUJO CAJA'!BF16</f>
        <v>69781574</v>
      </c>
      <c r="BG35" s="24">
        <f>+BF35+BG73+BG87-BF73-BF87-'FLUJO CAJA'!BG16</f>
        <v>-12308181</v>
      </c>
      <c r="BH35" s="24">
        <f>+BG35+BH73+BH87-BG73-BG87-'FLUJO CAJA'!BH16</f>
        <v>-3558033</v>
      </c>
      <c r="BI35" s="24">
        <f>+BH35+BI73+BI87-BH73-BH87-'FLUJO CAJA'!BI16</f>
        <v>3103769</v>
      </c>
      <c r="BJ35" s="24">
        <f>+BI35+BJ73+BJ87-BI73-BI87-'FLUJO CAJA'!BJ16</f>
        <v>11316695</v>
      </c>
      <c r="BK35" s="24">
        <f>+BJ35+BK73+BK87-BJ73-BJ87-'FLUJO CAJA'!BK16</f>
        <v>19263139</v>
      </c>
      <c r="BL35" s="24">
        <f>+BK35+BL73+BL87-BK73-BK87-'FLUJO CAJA'!BL16</f>
        <v>27942573</v>
      </c>
      <c r="BM35" s="24">
        <f>+BL35+BM73+BM87-BL73-BL87-'FLUJO CAJA'!BM16</f>
        <v>35351795</v>
      </c>
      <c r="BN35" s="24">
        <f>+BM35+BN73+BN87-BM73-BM87-'FLUJO CAJA'!BN16</f>
        <v>43995871</v>
      </c>
      <c r="BO35" s="24">
        <f>+BN35+BO73+BO87-BN73-BN87-'FLUJO CAJA'!BO16</f>
        <v>51211602</v>
      </c>
      <c r="BP35" s="24">
        <f>+BO35</f>
        <v>51211602</v>
      </c>
    </row>
    <row r="36" spans="2:68" x14ac:dyDescent="0.25">
      <c r="C36" t="s">
        <v>162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f>+O36</f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f>+AB36</f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f>+AO36</f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f>+BB36</f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f>+BO36</f>
        <v>0</v>
      </c>
    </row>
    <row r="37" spans="2:68" x14ac:dyDescent="0.2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</row>
    <row r="38" spans="2:68" x14ac:dyDescent="0.25">
      <c r="C38" s="26" t="s">
        <v>161</v>
      </c>
      <c r="D38" s="50">
        <f t="shared" ref="D38:O38" si="31">SUM(D33:D37)</f>
        <v>135121882</v>
      </c>
      <c r="E38" s="50">
        <f t="shared" si="31"/>
        <v>132223513</v>
      </c>
      <c r="F38" s="50">
        <f t="shared" si="31"/>
        <v>129045137</v>
      </c>
      <c r="G38" s="50">
        <f t="shared" si="31"/>
        <v>126073847</v>
      </c>
      <c r="H38" s="50">
        <f t="shared" si="31"/>
        <v>122821675</v>
      </c>
      <c r="I38" s="50">
        <f t="shared" si="31"/>
        <v>119775704</v>
      </c>
      <c r="J38" s="50">
        <f t="shared" si="31"/>
        <v>251569835</v>
      </c>
      <c r="K38" s="50">
        <f t="shared" si="31"/>
        <v>246410589</v>
      </c>
      <c r="L38" s="50">
        <f t="shared" si="31"/>
        <v>241747340</v>
      </c>
      <c r="M38" s="50">
        <f t="shared" si="31"/>
        <v>235546669</v>
      </c>
      <c r="N38" s="50">
        <f t="shared" si="31"/>
        <v>230726728</v>
      </c>
      <c r="O38" s="50">
        <f t="shared" si="31"/>
        <v>224664768</v>
      </c>
      <c r="P38" s="50">
        <f>+O38</f>
        <v>224664768</v>
      </c>
      <c r="Q38" s="50">
        <f t="shared" ref="Q38:AD38" si="32">SUM(Q33:Q37)</f>
        <v>218806051</v>
      </c>
      <c r="R38" s="50">
        <f t="shared" si="32"/>
        <v>212632958</v>
      </c>
      <c r="S38" s="50">
        <f t="shared" si="32"/>
        <v>198900423</v>
      </c>
      <c r="T38" s="50">
        <f t="shared" si="32"/>
        <v>177426750</v>
      </c>
      <c r="U38" s="50">
        <f t="shared" si="32"/>
        <v>171527647</v>
      </c>
      <c r="V38" s="50">
        <f t="shared" si="32"/>
        <v>164361399</v>
      </c>
      <c r="W38" s="50">
        <f t="shared" si="32"/>
        <v>282549924</v>
      </c>
      <c r="X38" s="50">
        <f t="shared" si="32"/>
        <v>270394363</v>
      </c>
      <c r="Y38" s="50">
        <f t="shared" si="32"/>
        <v>258682711</v>
      </c>
      <c r="Z38" s="50">
        <f t="shared" si="32"/>
        <v>245399283</v>
      </c>
      <c r="AA38" s="50">
        <f t="shared" si="32"/>
        <v>233345487</v>
      </c>
      <c r="AB38" s="50">
        <f t="shared" si="32"/>
        <v>219673995</v>
      </c>
      <c r="AC38" s="50">
        <f>+AB38</f>
        <v>219673995</v>
      </c>
      <c r="AD38" s="50">
        <f t="shared" si="32"/>
        <v>206428413</v>
      </c>
      <c r="AE38" s="50">
        <f t="shared" ref="AE38:AO38" si="33">SUM(AE33:AE37)</f>
        <v>192623595</v>
      </c>
      <c r="AF38" s="50">
        <f t="shared" si="33"/>
        <v>166974462</v>
      </c>
      <c r="AG38" s="50">
        <f t="shared" si="33"/>
        <v>96100548</v>
      </c>
      <c r="AH38" s="50">
        <f t="shared" si="33"/>
        <v>82566508</v>
      </c>
      <c r="AI38" s="50">
        <f t="shared" si="33"/>
        <v>66711832</v>
      </c>
      <c r="AJ38" s="50">
        <f t="shared" si="33"/>
        <v>52340925</v>
      </c>
      <c r="AK38" s="50">
        <f t="shared" si="33"/>
        <v>54733668</v>
      </c>
      <c r="AL38" s="50">
        <f t="shared" si="33"/>
        <v>57889214</v>
      </c>
      <c r="AM38" s="50">
        <f t="shared" si="33"/>
        <v>59712716</v>
      </c>
      <c r="AN38" s="50">
        <f t="shared" si="33"/>
        <v>62762188</v>
      </c>
      <c r="AO38" s="50">
        <f t="shared" si="33"/>
        <v>64282773</v>
      </c>
      <c r="AP38" s="50">
        <f>+AO38</f>
        <v>64282773</v>
      </c>
      <c r="AQ38" s="50">
        <f t="shared" ref="AQ38:BB38" si="34">SUM(AQ33:AQ37)</f>
        <v>67511923</v>
      </c>
      <c r="AR38" s="50">
        <f>SUM(AR33:AR37)</f>
        <v>74994167</v>
      </c>
      <c r="AS38" s="50">
        <f>SUM(AS33:AS37)</f>
        <v>70762285</v>
      </c>
      <c r="AT38" s="50">
        <f>SUM(AT33:AT37)</f>
        <v>-2056017</v>
      </c>
      <c r="AU38" s="50">
        <f>SUM(AU33:AU37)</f>
        <v>6156745</v>
      </c>
      <c r="AV38" s="50">
        <f t="shared" si="34"/>
        <v>12248251</v>
      </c>
      <c r="AW38" s="50">
        <f t="shared" si="34"/>
        <v>19943091</v>
      </c>
      <c r="AX38" s="50">
        <f t="shared" si="34"/>
        <v>27319240</v>
      </c>
      <c r="AY38" s="50">
        <f t="shared" si="34"/>
        <v>35461287</v>
      </c>
      <c r="AZ38" s="50">
        <f t="shared" si="34"/>
        <v>42319514</v>
      </c>
      <c r="BA38" s="50">
        <f t="shared" si="34"/>
        <v>50426204</v>
      </c>
      <c r="BB38" s="50">
        <f t="shared" si="34"/>
        <v>57071640</v>
      </c>
      <c r="BC38" s="50">
        <f>+BB38</f>
        <v>57071640</v>
      </c>
      <c r="BD38" s="50">
        <f t="shared" ref="BD38:BO38" si="35">SUM(BD33:BD37)</f>
        <v>65423545</v>
      </c>
      <c r="BE38" s="50">
        <f t="shared" si="35"/>
        <v>73476060</v>
      </c>
      <c r="BF38" s="50">
        <f t="shared" si="35"/>
        <v>69781565</v>
      </c>
      <c r="BG38" s="50">
        <f t="shared" si="35"/>
        <v>-12308190</v>
      </c>
      <c r="BH38" s="50">
        <f t="shared" si="35"/>
        <v>-3558042</v>
      </c>
      <c r="BI38" s="50">
        <f t="shared" si="35"/>
        <v>3103760</v>
      </c>
      <c r="BJ38" s="50">
        <f t="shared" si="35"/>
        <v>11316686</v>
      </c>
      <c r="BK38" s="50">
        <f t="shared" si="35"/>
        <v>19263139</v>
      </c>
      <c r="BL38" s="50">
        <f t="shared" si="35"/>
        <v>27942573</v>
      </c>
      <c r="BM38" s="50">
        <f t="shared" si="35"/>
        <v>35351795</v>
      </c>
      <c r="BN38" s="50">
        <f t="shared" si="35"/>
        <v>43995871</v>
      </c>
      <c r="BO38" s="50">
        <f t="shared" si="35"/>
        <v>51211602</v>
      </c>
      <c r="BP38" s="50">
        <f>+BO38</f>
        <v>51211602</v>
      </c>
    </row>
    <row r="39" spans="2:68" x14ac:dyDescent="0.2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</row>
    <row r="40" spans="2:68" ht="15.75" x14ac:dyDescent="0.25">
      <c r="B40" s="51" t="s">
        <v>160</v>
      </c>
      <c r="C40" s="51"/>
      <c r="D40" s="52">
        <f t="shared" ref="D40:O40" si="36">+D30+D38</f>
        <v>139763396</v>
      </c>
      <c r="E40" s="52">
        <f t="shared" si="36"/>
        <v>136365027</v>
      </c>
      <c r="F40" s="52">
        <f t="shared" si="36"/>
        <v>133186651</v>
      </c>
      <c r="G40" s="52">
        <f t="shared" si="36"/>
        <v>130715361</v>
      </c>
      <c r="H40" s="52">
        <f t="shared" si="36"/>
        <v>126963189</v>
      </c>
      <c r="I40" s="52">
        <f t="shared" si="36"/>
        <v>123917218</v>
      </c>
      <c r="J40" s="52">
        <f t="shared" si="36"/>
        <v>258299872</v>
      </c>
      <c r="K40" s="52">
        <f t="shared" si="36"/>
        <v>252240626</v>
      </c>
      <c r="L40" s="52">
        <f t="shared" si="36"/>
        <v>247577377</v>
      </c>
      <c r="M40" s="52">
        <f t="shared" si="36"/>
        <v>242276706</v>
      </c>
      <c r="N40" s="52">
        <f t="shared" si="36"/>
        <v>236556765</v>
      </c>
      <c r="O40" s="52">
        <f t="shared" si="36"/>
        <v>230494805</v>
      </c>
      <c r="P40" s="52">
        <f>+O40</f>
        <v>230494805</v>
      </c>
      <c r="Q40" s="52">
        <f t="shared" ref="Q40:AB40" si="37">+Q30+Q38</f>
        <v>226754455</v>
      </c>
      <c r="R40" s="52">
        <f t="shared" si="37"/>
        <v>219645362</v>
      </c>
      <c r="S40" s="52">
        <f t="shared" si="37"/>
        <v>205912827</v>
      </c>
      <c r="T40" s="52">
        <f t="shared" si="37"/>
        <v>185375154</v>
      </c>
      <c r="U40" s="52">
        <f t="shared" si="37"/>
        <v>178540051</v>
      </c>
      <c r="V40" s="52">
        <f t="shared" si="37"/>
        <v>171373803</v>
      </c>
      <c r="W40" s="52">
        <f t="shared" si="37"/>
        <v>292907492</v>
      </c>
      <c r="X40" s="52">
        <f t="shared" si="37"/>
        <v>279399931</v>
      </c>
      <c r="Y40" s="52">
        <f t="shared" si="37"/>
        <v>267688279</v>
      </c>
      <c r="Z40" s="52">
        <f t="shared" si="37"/>
        <v>255756851</v>
      </c>
      <c r="AA40" s="52">
        <f t="shared" si="37"/>
        <v>242351055</v>
      </c>
      <c r="AB40" s="52">
        <f t="shared" si="37"/>
        <v>228679563</v>
      </c>
      <c r="AC40" s="52">
        <f>+AB40</f>
        <v>228679563</v>
      </c>
      <c r="AD40" s="52">
        <f t="shared" ref="AD40:AO40" si="38">+AD30+AD38</f>
        <v>218198947</v>
      </c>
      <c r="AE40" s="52">
        <f t="shared" si="38"/>
        <v>202988049</v>
      </c>
      <c r="AF40" s="52">
        <f t="shared" si="38"/>
        <v>177338916</v>
      </c>
      <c r="AG40" s="52">
        <f t="shared" si="38"/>
        <v>107871082</v>
      </c>
      <c r="AH40" s="52">
        <f t="shared" si="38"/>
        <v>92930962</v>
      </c>
      <c r="AI40" s="52">
        <f t="shared" si="38"/>
        <v>77076286</v>
      </c>
      <c r="AJ40" s="52">
        <f t="shared" si="38"/>
        <v>64111459</v>
      </c>
      <c r="AK40" s="52">
        <f t="shared" si="38"/>
        <v>65098122</v>
      </c>
      <c r="AL40" s="52">
        <f t="shared" si="38"/>
        <v>68253668</v>
      </c>
      <c r="AM40" s="52">
        <f t="shared" si="38"/>
        <v>71483250</v>
      </c>
      <c r="AN40" s="52">
        <f t="shared" si="38"/>
        <v>73126642</v>
      </c>
      <c r="AO40" s="52">
        <f t="shared" si="38"/>
        <v>74647227</v>
      </c>
      <c r="AP40" s="52">
        <f>+AO40</f>
        <v>74647227</v>
      </c>
      <c r="AQ40" s="52">
        <f t="shared" ref="AQ40:BB40" si="39">+AQ30+AQ38</f>
        <v>79636084</v>
      </c>
      <c r="AR40" s="52">
        <f t="shared" si="39"/>
        <v>85656010</v>
      </c>
      <c r="AS40" s="52">
        <f t="shared" si="39"/>
        <v>81424128</v>
      </c>
      <c r="AT40" s="52">
        <f t="shared" si="39"/>
        <v>10068144</v>
      </c>
      <c r="AU40" s="52">
        <f t="shared" si="39"/>
        <v>16818588</v>
      </c>
      <c r="AV40" s="52">
        <f t="shared" si="39"/>
        <v>22910094</v>
      </c>
      <c r="AW40" s="52">
        <f t="shared" si="39"/>
        <v>32067252</v>
      </c>
      <c r="AX40" s="52">
        <f t="shared" si="39"/>
        <v>37981083</v>
      </c>
      <c r="AY40" s="52">
        <f t="shared" si="39"/>
        <v>46123130</v>
      </c>
      <c r="AZ40" s="52">
        <f t="shared" si="39"/>
        <v>54443675</v>
      </c>
      <c r="BA40" s="52">
        <f t="shared" si="39"/>
        <v>61088047</v>
      </c>
      <c r="BB40" s="52">
        <f t="shared" si="39"/>
        <v>67733483</v>
      </c>
      <c r="BC40" s="52">
        <f>+BB40</f>
        <v>67733483</v>
      </c>
      <c r="BD40" s="52">
        <f t="shared" ref="BD40:BO40" si="40">+BD30+BD38</f>
        <v>77905116</v>
      </c>
      <c r="BE40" s="52">
        <f t="shared" si="40"/>
        <v>84436826</v>
      </c>
      <c r="BF40" s="52">
        <f t="shared" si="40"/>
        <v>80742331</v>
      </c>
      <c r="BG40" s="52">
        <f t="shared" si="40"/>
        <v>173381</v>
      </c>
      <c r="BH40" s="52">
        <f t="shared" si="40"/>
        <v>7402724</v>
      </c>
      <c r="BI40" s="52">
        <f t="shared" si="40"/>
        <v>14064526</v>
      </c>
      <c r="BJ40" s="52">
        <f t="shared" si="40"/>
        <v>23798257</v>
      </c>
      <c r="BK40" s="52">
        <f t="shared" si="40"/>
        <v>30223905</v>
      </c>
      <c r="BL40" s="52">
        <f t="shared" si="40"/>
        <v>38903339</v>
      </c>
      <c r="BM40" s="52">
        <f t="shared" si="40"/>
        <v>47833366</v>
      </c>
      <c r="BN40" s="52">
        <f t="shared" si="40"/>
        <v>54956637</v>
      </c>
      <c r="BO40" s="52">
        <f t="shared" si="40"/>
        <v>62172368</v>
      </c>
      <c r="BP40" s="52">
        <f>+BO40</f>
        <v>62172368</v>
      </c>
    </row>
    <row r="41" spans="2:68" x14ac:dyDescent="0.2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</row>
    <row r="42" spans="2:68" x14ac:dyDescent="0.25">
      <c r="B42" s="26" t="s">
        <v>159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</row>
    <row r="43" spans="2:68" x14ac:dyDescent="0.25">
      <c r="C43" t="s">
        <v>158</v>
      </c>
      <c r="D43" s="24">
        <f>+'FLUJO CAJA'!D7</f>
        <v>90000000</v>
      </c>
      <c r="E43" s="24">
        <f>+D43</f>
        <v>90000000</v>
      </c>
      <c r="F43" s="24">
        <f t="shared" ref="F43:O43" si="41">+E43</f>
        <v>90000000</v>
      </c>
      <c r="G43" s="24">
        <f t="shared" si="41"/>
        <v>90000000</v>
      </c>
      <c r="H43" s="24">
        <f t="shared" si="41"/>
        <v>90000000</v>
      </c>
      <c r="I43" s="24">
        <f t="shared" si="41"/>
        <v>90000000</v>
      </c>
      <c r="J43" s="24">
        <f t="shared" si="41"/>
        <v>90000000</v>
      </c>
      <c r="K43" s="24">
        <f t="shared" si="41"/>
        <v>90000000</v>
      </c>
      <c r="L43" s="24">
        <f t="shared" si="41"/>
        <v>90000000</v>
      </c>
      <c r="M43" s="24">
        <f t="shared" si="41"/>
        <v>90000000</v>
      </c>
      <c r="N43" s="24">
        <f t="shared" si="41"/>
        <v>90000000</v>
      </c>
      <c r="O43" s="24">
        <f t="shared" si="41"/>
        <v>90000000</v>
      </c>
      <c r="P43" s="24">
        <f t="shared" ref="P43:BB43" si="42">+O43</f>
        <v>90000000</v>
      </c>
      <c r="Q43" s="24">
        <f t="shared" si="42"/>
        <v>90000000</v>
      </c>
      <c r="R43" s="24">
        <f t="shared" si="42"/>
        <v>90000000</v>
      </c>
      <c r="S43" s="24">
        <f t="shared" si="42"/>
        <v>90000000</v>
      </c>
      <c r="T43" s="24">
        <f t="shared" si="42"/>
        <v>90000000</v>
      </c>
      <c r="U43" s="24">
        <f t="shared" si="42"/>
        <v>90000000</v>
      </c>
      <c r="V43" s="24">
        <f t="shared" si="42"/>
        <v>90000000</v>
      </c>
      <c r="W43" s="24">
        <f t="shared" si="42"/>
        <v>90000000</v>
      </c>
      <c r="X43" s="24">
        <f t="shared" si="42"/>
        <v>90000000</v>
      </c>
      <c r="Y43" s="24">
        <f t="shared" si="42"/>
        <v>90000000</v>
      </c>
      <c r="Z43" s="24">
        <f t="shared" si="42"/>
        <v>90000000</v>
      </c>
      <c r="AA43" s="24">
        <f t="shared" si="42"/>
        <v>90000000</v>
      </c>
      <c r="AB43" s="24">
        <f t="shared" si="42"/>
        <v>90000000</v>
      </c>
      <c r="AC43" s="24">
        <f t="shared" si="42"/>
        <v>90000000</v>
      </c>
      <c r="AD43" s="24">
        <f t="shared" si="42"/>
        <v>90000000</v>
      </c>
      <c r="AE43" s="24">
        <f t="shared" si="42"/>
        <v>90000000</v>
      </c>
      <c r="AF43" s="24">
        <f t="shared" si="42"/>
        <v>90000000</v>
      </c>
      <c r="AG43" s="24">
        <f t="shared" si="42"/>
        <v>90000000</v>
      </c>
      <c r="AH43" s="24">
        <f t="shared" si="42"/>
        <v>90000000</v>
      </c>
      <c r="AI43" s="24">
        <f t="shared" si="42"/>
        <v>90000000</v>
      </c>
      <c r="AJ43" s="24">
        <f t="shared" si="42"/>
        <v>90000000</v>
      </c>
      <c r="AK43" s="24">
        <f t="shared" si="42"/>
        <v>90000000</v>
      </c>
      <c r="AL43" s="24">
        <f t="shared" si="42"/>
        <v>90000000</v>
      </c>
      <c r="AM43" s="24">
        <f t="shared" si="42"/>
        <v>90000000</v>
      </c>
      <c r="AN43" s="24">
        <f t="shared" si="42"/>
        <v>90000000</v>
      </c>
      <c r="AO43" s="24">
        <f t="shared" si="42"/>
        <v>90000000</v>
      </c>
      <c r="AP43" s="24">
        <f t="shared" si="42"/>
        <v>90000000</v>
      </c>
      <c r="AQ43" s="24">
        <f t="shared" si="42"/>
        <v>90000000</v>
      </c>
      <c r="AR43" s="24">
        <f t="shared" si="42"/>
        <v>90000000</v>
      </c>
      <c r="AS43" s="24">
        <f t="shared" si="42"/>
        <v>90000000</v>
      </c>
      <c r="AT43" s="24">
        <f t="shared" si="42"/>
        <v>90000000</v>
      </c>
      <c r="AU43" s="24">
        <f t="shared" si="42"/>
        <v>90000000</v>
      </c>
      <c r="AV43" s="24">
        <f t="shared" si="42"/>
        <v>90000000</v>
      </c>
      <c r="AW43" s="24">
        <f t="shared" si="42"/>
        <v>90000000</v>
      </c>
      <c r="AX43" s="24">
        <f t="shared" si="42"/>
        <v>90000000</v>
      </c>
      <c r="AY43" s="24">
        <f t="shared" si="42"/>
        <v>90000000</v>
      </c>
      <c r="AZ43" s="24">
        <f t="shared" si="42"/>
        <v>90000000</v>
      </c>
      <c r="BA43" s="24">
        <f t="shared" si="42"/>
        <v>90000000</v>
      </c>
      <c r="BB43" s="24">
        <f t="shared" si="42"/>
        <v>90000000</v>
      </c>
      <c r="BC43" s="24">
        <f t="shared" ref="BC43:BC50" si="43">+BB43</f>
        <v>90000000</v>
      </c>
      <c r="BD43" s="24">
        <f t="shared" ref="BD43:BO43" si="44">+BC43</f>
        <v>90000000</v>
      </c>
      <c r="BE43" s="24">
        <f t="shared" si="44"/>
        <v>90000000</v>
      </c>
      <c r="BF43" s="24">
        <f t="shared" si="44"/>
        <v>90000000</v>
      </c>
      <c r="BG43" s="24">
        <f t="shared" si="44"/>
        <v>90000000</v>
      </c>
      <c r="BH43" s="24">
        <f t="shared" si="44"/>
        <v>90000000</v>
      </c>
      <c r="BI43" s="24">
        <f t="shared" si="44"/>
        <v>90000000</v>
      </c>
      <c r="BJ43" s="24">
        <f t="shared" si="44"/>
        <v>90000000</v>
      </c>
      <c r="BK43" s="24">
        <f t="shared" si="44"/>
        <v>90000000</v>
      </c>
      <c r="BL43" s="24">
        <f t="shared" si="44"/>
        <v>90000000</v>
      </c>
      <c r="BM43" s="24">
        <f t="shared" si="44"/>
        <v>90000000</v>
      </c>
      <c r="BN43" s="24">
        <f t="shared" si="44"/>
        <v>90000000</v>
      </c>
      <c r="BO43" s="24">
        <f t="shared" si="44"/>
        <v>90000000</v>
      </c>
      <c r="BP43" s="24">
        <f t="shared" ref="BP43:BP50" si="45">+BO43</f>
        <v>90000000</v>
      </c>
    </row>
    <row r="44" spans="2:68" x14ac:dyDescent="0.25">
      <c r="C44" s="42" t="s">
        <v>235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f t="shared" ref="P44:P52" si="46">+O44</f>
        <v>0</v>
      </c>
      <c r="Q44" s="24">
        <f>+P45</f>
        <v>29432954</v>
      </c>
      <c r="R44" s="24">
        <f t="shared" ref="R44:AC44" si="47">+Q44</f>
        <v>29432954</v>
      </c>
      <c r="S44" s="24">
        <f t="shared" si="47"/>
        <v>29432954</v>
      </c>
      <c r="T44" s="24">
        <f t="shared" si="47"/>
        <v>29432954</v>
      </c>
      <c r="U44" s="24">
        <f t="shared" si="47"/>
        <v>29432954</v>
      </c>
      <c r="V44" s="24">
        <f t="shared" si="47"/>
        <v>29432954</v>
      </c>
      <c r="W44" s="24">
        <f t="shared" si="47"/>
        <v>29432954</v>
      </c>
      <c r="X44" s="24">
        <f t="shared" si="47"/>
        <v>29432954</v>
      </c>
      <c r="Y44" s="24">
        <f t="shared" si="47"/>
        <v>29432954</v>
      </c>
      <c r="Z44" s="24">
        <f t="shared" si="47"/>
        <v>29432954</v>
      </c>
      <c r="AA44" s="24">
        <f t="shared" si="47"/>
        <v>29432954</v>
      </c>
      <c r="AB44" s="24">
        <f t="shared" si="47"/>
        <v>29432954</v>
      </c>
      <c r="AC44" s="24">
        <f t="shared" si="47"/>
        <v>29432954</v>
      </c>
      <c r="AD44" s="24">
        <f>+AC44+AC45</f>
        <v>142821504</v>
      </c>
      <c r="AE44" s="24">
        <f t="shared" ref="AE44:AO44" si="48">+AD44</f>
        <v>142821504</v>
      </c>
      <c r="AF44" s="24">
        <f t="shared" si="48"/>
        <v>142821504</v>
      </c>
      <c r="AG44" s="24">
        <f t="shared" si="48"/>
        <v>142821504</v>
      </c>
      <c r="AH44" s="24">
        <f t="shared" si="48"/>
        <v>142821504</v>
      </c>
      <c r="AI44" s="24">
        <f t="shared" si="48"/>
        <v>142821504</v>
      </c>
      <c r="AJ44" s="24">
        <f t="shared" si="48"/>
        <v>142821504</v>
      </c>
      <c r="AK44" s="24">
        <f t="shared" si="48"/>
        <v>142821504</v>
      </c>
      <c r="AL44" s="24">
        <f t="shared" si="48"/>
        <v>142821504</v>
      </c>
      <c r="AM44" s="24">
        <f t="shared" si="48"/>
        <v>142821504</v>
      </c>
      <c r="AN44" s="24">
        <f t="shared" si="48"/>
        <v>142821504</v>
      </c>
      <c r="AO44" s="24">
        <f t="shared" si="48"/>
        <v>142821504</v>
      </c>
      <c r="AP44" s="24">
        <f t="shared" ref="AP44:AP50" si="49">+AO44</f>
        <v>142821504</v>
      </c>
      <c r="AQ44" s="24">
        <f>+AP44+AP45</f>
        <v>304000360.60000002</v>
      </c>
      <c r="AR44" s="24">
        <f t="shared" ref="AR44:BB44" si="50">+AQ44</f>
        <v>304000360.60000002</v>
      </c>
      <c r="AS44" s="24">
        <f t="shared" si="50"/>
        <v>304000360.60000002</v>
      </c>
      <c r="AT44" s="24">
        <f t="shared" si="50"/>
        <v>304000360.60000002</v>
      </c>
      <c r="AU44" s="24">
        <f t="shared" si="50"/>
        <v>304000360.60000002</v>
      </c>
      <c r="AV44" s="24">
        <f t="shared" si="50"/>
        <v>304000360.60000002</v>
      </c>
      <c r="AW44" s="24">
        <f t="shared" si="50"/>
        <v>304000360.60000002</v>
      </c>
      <c r="AX44" s="24">
        <f t="shared" si="50"/>
        <v>304000360.60000002</v>
      </c>
      <c r="AY44" s="24">
        <f t="shared" si="50"/>
        <v>304000360.60000002</v>
      </c>
      <c r="AZ44" s="24">
        <f t="shared" si="50"/>
        <v>304000360.60000002</v>
      </c>
      <c r="BA44" s="24">
        <f t="shared" si="50"/>
        <v>304000360.60000002</v>
      </c>
      <c r="BB44" s="24">
        <f t="shared" si="50"/>
        <v>304000360.60000002</v>
      </c>
      <c r="BC44" s="24">
        <f t="shared" si="43"/>
        <v>304000360.60000002</v>
      </c>
      <c r="BD44" s="24">
        <f>+BC44+BC45</f>
        <v>485121760.20000005</v>
      </c>
      <c r="BE44" s="24">
        <f t="shared" ref="BE44:BO44" si="51">+BD44</f>
        <v>485121760.20000005</v>
      </c>
      <c r="BF44" s="24">
        <f t="shared" si="51"/>
        <v>485121760.20000005</v>
      </c>
      <c r="BG44" s="24">
        <f t="shared" si="51"/>
        <v>485121760.20000005</v>
      </c>
      <c r="BH44" s="24">
        <f t="shared" si="51"/>
        <v>485121760.20000005</v>
      </c>
      <c r="BI44" s="24">
        <f t="shared" si="51"/>
        <v>485121760.20000005</v>
      </c>
      <c r="BJ44" s="24">
        <f t="shared" si="51"/>
        <v>485121760.20000005</v>
      </c>
      <c r="BK44" s="24">
        <f t="shared" si="51"/>
        <v>485121760.20000005</v>
      </c>
      <c r="BL44" s="24">
        <f t="shared" si="51"/>
        <v>485121760.20000005</v>
      </c>
      <c r="BM44" s="24">
        <f t="shared" si="51"/>
        <v>485121760.20000005</v>
      </c>
      <c r="BN44" s="24">
        <f t="shared" si="51"/>
        <v>485121760.20000005</v>
      </c>
      <c r="BO44" s="24">
        <f t="shared" si="51"/>
        <v>485121760.20000005</v>
      </c>
      <c r="BP44" s="24">
        <f t="shared" si="45"/>
        <v>485121760.20000005</v>
      </c>
    </row>
    <row r="45" spans="2:68" x14ac:dyDescent="0.25">
      <c r="C45" t="s">
        <v>157</v>
      </c>
      <c r="D45" s="24">
        <f>+D89</f>
        <v>-3110516.6666666679</v>
      </c>
      <c r="E45" s="24">
        <f t="shared" ref="E45:AO45" si="52">+E89</f>
        <v>-5108891.3333333358</v>
      </c>
      <c r="F45" s="24">
        <f t="shared" si="52"/>
        <v>-6088880</v>
      </c>
      <c r="G45" s="24">
        <f t="shared" si="52"/>
        <v>-9550047.6666666716</v>
      </c>
      <c r="H45" s="24">
        <f t="shared" si="52"/>
        <v>-10491954.333333328</v>
      </c>
      <c r="I45" s="24">
        <f t="shared" si="52"/>
        <v>-12914155</v>
      </c>
      <c r="J45" s="24">
        <f t="shared" si="52"/>
        <v>-714200.66666665673</v>
      </c>
      <c r="K45" s="24">
        <f t="shared" si="52"/>
        <v>5539901.6666666567</v>
      </c>
      <c r="L45" s="24">
        <f t="shared" si="52"/>
        <v>13274767</v>
      </c>
      <c r="M45" s="24">
        <f t="shared" si="52"/>
        <v>17098866.333333313</v>
      </c>
      <c r="N45" s="24">
        <f t="shared" si="52"/>
        <v>24918994.666666687</v>
      </c>
      <c r="O45" s="24">
        <f t="shared" si="52"/>
        <v>29432954</v>
      </c>
      <c r="P45" s="24">
        <f t="shared" si="46"/>
        <v>29432954</v>
      </c>
      <c r="Q45" s="24">
        <f t="shared" si="52"/>
        <v>6104431.3333333358</v>
      </c>
      <c r="R45" s="24">
        <f t="shared" si="52"/>
        <v>10791049.666666672</v>
      </c>
      <c r="S45" s="24">
        <f t="shared" si="52"/>
        <v>17614368</v>
      </c>
      <c r="T45" s="24">
        <f t="shared" si="52"/>
        <v>21097310.333333343</v>
      </c>
      <c r="U45" s="24">
        <f t="shared" si="52"/>
        <v>28015768.666666657</v>
      </c>
      <c r="V45" s="24">
        <f t="shared" si="52"/>
        <v>31552685</v>
      </c>
      <c r="W45" s="24">
        <f t="shared" si="52"/>
        <v>46956699.333333313</v>
      </c>
      <c r="X45" s="24">
        <f t="shared" si="52"/>
        <v>59553204.666666687</v>
      </c>
      <c r="Y45" s="24">
        <f t="shared" si="52"/>
        <v>75051687</v>
      </c>
      <c r="Z45" s="24">
        <f t="shared" si="52"/>
        <v>86276916.333333373</v>
      </c>
      <c r="AA45" s="24">
        <f t="shared" si="52"/>
        <v>102010399.66666675</v>
      </c>
      <c r="AB45" s="24">
        <f t="shared" si="52"/>
        <v>113388550</v>
      </c>
      <c r="AC45" s="24">
        <f t="shared" ref="AC45:AC50" si="53">+AB45</f>
        <v>113388550</v>
      </c>
      <c r="AD45" s="24">
        <f t="shared" si="52"/>
        <v>14235015.133333333</v>
      </c>
      <c r="AE45" s="24">
        <f t="shared" si="52"/>
        <v>26275117.266666666</v>
      </c>
      <c r="AF45" s="24">
        <f t="shared" si="52"/>
        <v>41702199.400000006</v>
      </c>
      <c r="AG45" s="24">
        <f t="shared" si="52"/>
        <v>52250082.533333302</v>
      </c>
      <c r="AH45" s="24">
        <f t="shared" si="52"/>
        <v>67934928.666666687</v>
      </c>
      <c r="AI45" s="24">
        <f t="shared" si="52"/>
        <v>77810602.800000012</v>
      </c>
      <c r="AJ45" s="24">
        <f t="shared" si="52"/>
        <v>92819093.933333337</v>
      </c>
      <c r="AK45" s="24">
        <f t="shared" si="52"/>
        <v>105644537.06666666</v>
      </c>
      <c r="AL45" s="24">
        <f t="shared" si="52"/>
        <v>121729842.20000005</v>
      </c>
      <c r="AM45" s="24">
        <f t="shared" si="52"/>
        <v>133611304.33333337</v>
      </c>
      <c r="AN45" s="24">
        <f t="shared" si="52"/>
        <v>149695540.4666667</v>
      </c>
      <c r="AO45" s="24">
        <f t="shared" si="52"/>
        <v>161178856.60000002</v>
      </c>
      <c r="AP45" s="24">
        <f t="shared" si="49"/>
        <v>161178856.60000002</v>
      </c>
      <c r="AQ45" s="24">
        <f t="shared" ref="AQ45:BB45" si="54">+AQ89</f>
        <v>16636410.466666661</v>
      </c>
      <c r="AR45" s="24">
        <f t="shared" si="54"/>
        <v>30992522.933333322</v>
      </c>
      <c r="AS45" s="24">
        <f t="shared" si="54"/>
        <v>48573766.400000006</v>
      </c>
      <c r="AT45" s="24">
        <f t="shared" si="54"/>
        <v>61074339.866666675</v>
      </c>
      <c r="AU45" s="24">
        <f t="shared" si="54"/>
        <v>78583797.333333313</v>
      </c>
      <c r="AV45" s="24">
        <f t="shared" si="54"/>
        <v>90116338.800000012</v>
      </c>
      <c r="AW45" s="24">
        <f t="shared" si="54"/>
        <v>106574257.26666671</v>
      </c>
      <c r="AX45" s="24">
        <f t="shared" si="54"/>
        <v>120715012.73333329</v>
      </c>
      <c r="AY45" s="24">
        <f t="shared" si="54"/>
        <v>138080899.20000005</v>
      </c>
      <c r="AZ45" s="24">
        <f t="shared" si="54"/>
        <v>151170115.66666663</v>
      </c>
      <c r="BA45" s="24">
        <f t="shared" si="54"/>
        <v>168464216.13333344</v>
      </c>
      <c r="BB45" s="24">
        <f t="shared" si="54"/>
        <v>181121399.60000002</v>
      </c>
      <c r="BC45" s="24">
        <f t="shared" si="43"/>
        <v>181121399.60000002</v>
      </c>
      <c r="BD45" s="24">
        <f t="shared" ref="BD45:BO45" si="55">+BD89</f>
        <v>17758554.466666661</v>
      </c>
      <c r="BE45" s="24">
        <f t="shared" si="55"/>
        <v>33239131.933333322</v>
      </c>
      <c r="BF45" s="24">
        <f t="shared" si="55"/>
        <v>51944840.400000006</v>
      </c>
      <c r="BG45" s="24">
        <f t="shared" si="55"/>
        <v>65530692.866666675</v>
      </c>
      <c r="BH45" s="24">
        <f t="shared" si="55"/>
        <v>84164615.333333313</v>
      </c>
      <c r="BI45" s="24">
        <f t="shared" si="55"/>
        <v>96821620.800000012</v>
      </c>
      <c r="BJ45" s="24">
        <f t="shared" si="55"/>
        <v>114364818.26666671</v>
      </c>
      <c r="BK45" s="24">
        <f t="shared" si="55"/>
        <v>129630038.73333329</v>
      </c>
      <c r="BL45" s="24">
        <f t="shared" si="55"/>
        <v>148120390.20000005</v>
      </c>
      <c r="BM45" s="24">
        <f t="shared" si="55"/>
        <v>162294884.66666663</v>
      </c>
      <c r="BN45" s="24">
        <f t="shared" si="55"/>
        <v>180713451.13333344</v>
      </c>
      <c r="BO45" s="24">
        <f t="shared" si="55"/>
        <v>194495098.60000002</v>
      </c>
      <c r="BP45" s="24">
        <f t="shared" si="45"/>
        <v>194495098.60000002</v>
      </c>
    </row>
    <row r="46" spans="2:68" x14ac:dyDescent="0.25">
      <c r="C46" t="s">
        <v>156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f t="shared" si="46"/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f t="shared" si="53"/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f t="shared" si="49"/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f t="shared" si="43"/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f t="shared" si="45"/>
        <v>0</v>
      </c>
    </row>
    <row r="47" spans="2:68" x14ac:dyDescent="0.25">
      <c r="C47" s="42" t="s">
        <v>155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f t="shared" si="46"/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f t="shared" si="53"/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f t="shared" si="49"/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f t="shared" si="43"/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f t="shared" si="45"/>
        <v>0</v>
      </c>
    </row>
    <row r="48" spans="2:68" x14ac:dyDescent="0.25">
      <c r="C48" s="42" t="s">
        <v>154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f t="shared" si="46"/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f t="shared" si="53"/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f t="shared" si="49"/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f t="shared" si="43"/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f t="shared" si="45"/>
        <v>0</v>
      </c>
    </row>
    <row r="49" spans="2:68" x14ac:dyDescent="0.25">
      <c r="C49" t="s">
        <v>153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f t="shared" si="46"/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f t="shared" si="53"/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f t="shared" si="49"/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f t="shared" si="43"/>
        <v>0</v>
      </c>
      <c r="BD49" s="24">
        <v>0</v>
      </c>
      <c r="BE49" s="24">
        <v>0</v>
      </c>
      <c r="BF49" s="24">
        <v>0</v>
      </c>
      <c r="BG49" s="24">
        <v>0</v>
      </c>
      <c r="BH49" s="24">
        <v>0</v>
      </c>
      <c r="BI49" s="24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  <c r="BP49" s="24">
        <f t="shared" si="45"/>
        <v>0</v>
      </c>
    </row>
    <row r="50" spans="2:68" x14ac:dyDescent="0.25">
      <c r="C50" s="26" t="s">
        <v>152</v>
      </c>
      <c r="D50" s="50">
        <f t="shared" ref="D50:O50" si="56">SUM(D43:D49)</f>
        <v>86889483.333333328</v>
      </c>
      <c r="E50" s="50">
        <f t="shared" si="56"/>
        <v>84891108.666666657</v>
      </c>
      <c r="F50" s="50">
        <f t="shared" si="56"/>
        <v>83911120</v>
      </c>
      <c r="G50" s="50">
        <f t="shared" si="56"/>
        <v>80449952.333333328</v>
      </c>
      <c r="H50" s="50">
        <f t="shared" si="56"/>
        <v>79508045.666666672</v>
      </c>
      <c r="I50" s="50">
        <f t="shared" si="56"/>
        <v>77085845</v>
      </c>
      <c r="J50" s="50">
        <f t="shared" si="56"/>
        <v>89285799.333333343</v>
      </c>
      <c r="K50" s="50">
        <f t="shared" si="56"/>
        <v>95539901.666666657</v>
      </c>
      <c r="L50" s="50">
        <f t="shared" si="56"/>
        <v>103274767</v>
      </c>
      <c r="M50" s="50">
        <f t="shared" si="56"/>
        <v>107098866.33333331</v>
      </c>
      <c r="N50" s="50">
        <f t="shared" si="56"/>
        <v>114918994.66666669</v>
      </c>
      <c r="O50" s="50">
        <f t="shared" si="56"/>
        <v>119432954</v>
      </c>
      <c r="P50" s="50">
        <f t="shared" si="46"/>
        <v>119432954</v>
      </c>
      <c r="Q50" s="50">
        <f t="shared" ref="Q50:AB50" si="57">SUM(Q43:Q49)</f>
        <v>125537385.33333334</v>
      </c>
      <c r="R50" s="50">
        <f t="shared" si="57"/>
        <v>130224003.66666667</v>
      </c>
      <c r="S50" s="50">
        <f t="shared" si="57"/>
        <v>137047322</v>
      </c>
      <c r="T50" s="50">
        <f t="shared" si="57"/>
        <v>140530264.33333334</v>
      </c>
      <c r="U50" s="50">
        <f t="shared" si="57"/>
        <v>147448722.66666666</v>
      </c>
      <c r="V50" s="50">
        <f t="shared" si="57"/>
        <v>150985639</v>
      </c>
      <c r="W50" s="50">
        <f t="shared" si="57"/>
        <v>166389653.33333331</v>
      </c>
      <c r="X50" s="50">
        <f t="shared" si="57"/>
        <v>178986158.66666669</v>
      </c>
      <c r="Y50" s="50">
        <f t="shared" si="57"/>
        <v>194484641</v>
      </c>
      <c r="Z50" s="50">
        <f t="shared" si="57"/>
        <v>205709870.33333337</v>
      </c>
      <c r="AA50" s="50">
        <f t="shared" si="57"/>
        <v>221443353.66666675</v>
      </c>
      <c r="AB50" s="50">
        <f t="shared" si="57"/>
        <v>232821504</v>
      </c>
      <c r="AC50" s="50">
        <f t="shared" si="53"/>
        <v>232821504</v>
      </c>
      <c r="AD50" s="50">
        <f t="shared" ref="AD50:AO50" si="58">SUM(AD43:AD49)</f>
        <v>247056519.13333333</v>
      </c>
      <c r="AE50" s="50">
        <f t="shared" si="58"/>
        <v>259096621.26666665</v>
      </c>
      <c r="AF50" s="50">
        <f t="shared" si="58"/>
        <v>274523703.39999998</v>
      </c>
      <c r="AG50" s="50">
        <f t="shared" si="58"/>
        <v>285071586.5333333</v>
      </c>
      <c r="AH50" s="50">
        <f t="shared" si="58"/>
        <v>300756432.66666669</v>
      </c>
      <c r="AI50" s="50">
        <f t="shared" si="58"/>
        <v>310632106.80000001</v>
      </c>
      <c r="AJ50" s="50">
        <f t="shared" si="58"/>
        <v>325640597.93333334</v>
      </c>
      <c r="AK50" s="50">
        <f t="shared" si="58"/>
        <v>338466041.06666666</v>
      </c>
      <c r="AL50" s="50">
        <f t="shared" si="58"/>
        <v>354551346.20000005</v>
      </c>
      <c r="AM50" s="50">
        <f t="shared" si="58"/>
        <v>366432808.33333337</v>
      </c>
      <c r="AN50" s="50">
        <f t="shared" si="58"/>
        <v>382517044.4666667</v>
      </c>
      <c r="AO50" s="50">
        <f t="shared" si="58"/>
        <v>394000360.60000002</v>
      </c>
      <c r="AP50" s="50">
        <f t="shared" si="49"/>
        <v>394000360.60000002</v>
      </c>
      <c r="AQ50" s="50">
        <f t="shared" ref="AQ50:BB50" si="59">SUM(AQ43:AQ49)</f>
        <v>410636771.06666666</v>
      </c>
      <c r="AR50" s="50">
        <f t="shared" si="59"/>
        <v>424992883.53333336</v>
      </c>
      <c r="AS50" s="50">
        <f t="shared" si="59"/>
        <v>442574127</v>
      </c>
      <c r="AT50" s="50">
        <f t="shared" si="59"/>
        <v>455074700.4666667</v>
      </c>
      <c r="AU50" s="50">
        <f t="shared" si="59"/>
        <v>472584157.93333334</v>
      </c>
      <c r="AV50" s="50">
        <f t="shared" si="59"/>
        <v>484116699.40000004</v>
      </c>
      <c r="AW50" s="50">
        <f t="shared" si="59"/>
        <v>500574617.86666673</v>
      </c>
      <c r="AX50" s="50">
        <f t="shared" si="59"/>
        <v>514715373.33333331</v>
      </c>
      <c r="AY50" s="50">
        <f t="shared" si="59"/>
        <v>532081259.80000007</v>
      </c>
      <c r="AZ50" s="50">
        <f t="shared" si="59"/>
        <v>545170476.26666665</v>
      </c>
      <c r="BA50" s="50">
        <f t="shared" si="59"/>
        <v>562464576.73333347</v>
      </c>
      <c r="BB50" s="50">
        <f t="shared" si="59"/>
        <v>575121760.20000005</v>
      </c>
      <c r="BC50" s="50">
        <f t="shared" si="43"/>
        <v>575121760.20000005</v>
      </c>
      <c r="BD50" s="50">
        <f t="shared" ref="BD50:BO50" si="60">SUM(BD43:BD49)</f>
        <v>592880314.66666675</v>
      </c>
      <c r="BE50" s="50">
        <f t="shared" si="60"/>
        <v>608360892.13333333</v>
      </c>
      <c r="BF50" s="50">
        <f t="shared" si="60"/>
        <v>627066600.60000002</v>
      </c>
      <c r="BG50" s="50">
        <f t="shared" si="60"/>
        <v>640652453.06666672</v>
      </c>
      <c r="BH50" s="50">
        <f t="shared" si="60"/>
        <v>659286375.5333333</v>
      </c>
      <c r="BI50" s="50">
        <f t="shared" si="60"/>
        <v>671943381</v>
      </c>
      <c r="BJ50" s="50">
        <f t="shared" si="60"/>
        <v>689486578.4666667</v>
      </c>
      <c r="BK50" s="50">
        <f t="shared" si="60"/>
        <v>704751798.9333334</v>
      </c>
      <c r="BL50" s="50">
        <f t="shared" si="60"/>
        <v>723242150.4000001</v>
      </c>
      <c r="BM50" s="50">
        <f t="shared" si="60"/>
        <v>737416644.86666667</v>
      </c>
      <c r="BN50" s="50">
        <f t="shared" si="60"/>
        <v>755835211.33333349</v>
      </c>
      <c r="BO50" s="50">
        <f t="shared" si="60"/>
        <v>769616858.80000007</v>
      </c>
      <c r="BP50" s="50">
        <f t="shared" si="45"/>
        <v>769616858.80000007</v>
      </c>
    </row>
    <row r="51" spans="2:68" x14ac:dyDescent="0.2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</row>
    <row r="52" spans="2:68" ht="15.75" x14ac:dyDescent="0.25">
      <c r="B52" s="51" t="s">
        <v>151</v>
      </c>
      <c r="C52" s="51"/>
      <c r="D52" s="52">
        <f t="shared" ref="D52:O52" si="61">+D40+D50</f>
        <v>226652879.33333331</v>
      </c>
      <c r="E52" s="52">
        <f t="shared" si="61"/>
        <v>221256135.66666666</v>
      </c>
      <c r="F52" s="52">
        <f t="shared" si="61"/>
        <v>217097771</v>
      </c>
      <c r="G52" s="52">
        <f t="shared" si="61"/>
        <v>211165313.33333331</v>
      </c>
      <c r="H52" s="52">
        <f t="shared" si="61"/>
        <v>206471234.66666669</v>
      </c>
      <c r="I52" s="52">
        <f t="shared" si="61"/>
        <v>201003063</v>
      </c>
      <c r="J52" s="52">
        <f t="shared" si="61"/>
        <v>347585671.33333337</v>
      </c>
      <c r="K52" s="52">
        <f t="shared" si="61"/>
        <v>347780527.66666663</v>
      </c>
      <c r="L52" s="52">
        <f t="shared" si="61"/>
        <v>350852144</v>
      </c>
      <c r="M52" s="52">
        <f t="shared" si="61"/>
        <v>349375572.33333331</v>
      </c>
      <c r="N52" s="52">
        <f t="shared" si="61"/>
        <v>351475759.66666669</v>
      </c>
      <c r="O52" s="52">
        <f t="shared" si="61"/>
        <v>349927759</v>
      </c>
      <c r="P52" s="52">
        <f t="shared" si="46"/>
        <v>349927759</v>
      </c>
      <c r="Q52" s="52">
        <f t="shared" ref="Q52:AB52" si="62">+Q40+Q50</f>
        <v>352291840.33333337</v>
      </c>
      <c r="R52" s="52">
        <f t="shared" si="62"/>
        <v>349869365.66666669</v>
      </c>
      <c r="S52" s="52">
        <f t="shared" si="62"/>
        <v>342960149</v>
      </c>
      <c r="T52" s="52">
        <f t="shared" si="62"/>
        <v>325905418.33333337</v>
      </c>
      <c r="U52" s="52">
        <f t="shared" si="62"/>
        <v>325988773.66666663</v>
      </c>
      <c r="V52" s="52">
        <f t="shared" si="62"/>
        <v>322359442</v>
      </c>
      <c r="W52" s="52">
        <f t="shared" si="62"/>
        <v>459297145.33333331</v>
      </c>
      <c r="X52" s="52">
        <f t="shared" si="62"/>
        <v>458386089.66666669</v>
      </c>
      <c r="Y52" s="52">
        <f t="shared" si="62"/>
        <v>462172920</v>
      </c>
      <c r="Z52" s="52">
        <f t="shared" si="62"/>
        <v>461466721.33333337</v>
      </c>
      <c r="AA52" s="52">
        <f t="shared" si="62"/>
        <v>463794408.66666675</v>
      </c>
      <c r="AB52" s="52">
        <f t="shared" si="62"/>
        <v>461501067</v>
      </c>
      <c r="AC52" s="52">
        <f>+AB52</f>
        <v>461501067</v>
      </c>
      <c r="AD52" s="52">
        <f t="shared" ref="AD52:AO52" si="63">+AD40+AD50</f>
        <v>465255466.13333333</v>
      </c>
      <c r="AE52" s="52">
        <f t="shared" si="63"/>
        <v>462084670.26666665</v>
      </c>
      <c r="AF52" s="52">
        <f t="shared" si="63"/>
        <v>451862619.39999998</v>
      </c>
      <c r="AG52" s="52">
        <f t="shared" si="63"/>
        <v>392942668.5333333</v>
      </c>
      <c r="AH52" s="52">
        <f t="shared" si="63"/>
        <v>393687394.66666669</v>
      </c>
      <c r="AI52" s="52">
        <f t="shared" si="63"/>
        <v>387708392.80000001</v>
      </c>
      <c r="AJ52" s="52">
        <f t="shared" si="63"/>
        <v>389752056.93333334</v>
      </c>
      <c r="AK52" s="52">
        <f t="shared" si="63"/>
        <v>403564163.06666666</v>
      </c>
      <c r="AL52" s="52">
        <f t="shared" si="63"/>
        <v>422805014.20000005</v>
      </c>
      <c r="AM52" s="52">
        <f t="shared" si="63"/>
        <v>437916058.33333337</v>
      </c>
      <c r="AN52" s="52">
        <f t="shared" si="63"/>
        <v>455643686.4666667</v>
      </c>
      <c r="AO52" s="52">
        <f t="shared" si="63"/>
        <v>468647587.60000002</v>
      </c>
      <c r="AP52" s="52">
        <f>+AO52</f>
        <v>468647587.60000002</v>
      </c>
      <c r="AQ52" s="52">
        <f t="shared" ref="AQ52:BB52" si="64">+AQ40+AQ50</f>
        <v>490272855.06666666</v>
      </c>
      <c r="AR52" s="52">
        <f t="shared" si="64"/>
        <v>510648893.53333336</v>
      </c>
      <c r="AS52" s="52">
        <f t="shared" si="64"/>
        <v>523998255</v>
      </c>
      <c r="AT52" s="52">
        <f t="shared" si="64"/>
        <v>465142844.4666667</v>
      </c>
      <c r="AU52" s="52">
        <f t="shared" si="64"/>
        <v>489402745.93333334</v>
      </c>
      <c r="AV52" s="52">
        <f t="shared" si="64"/>
        <v>507026793.40000004</v>
      </c>
      <c r="AW52" s="52">
        <f t="shared" si="64"/>
        <v>532641869.86666673</v>
      </c>
      <c r="AX52" s="52">
        <f t="shared" si="64"/>
        <v>552696456.33333325</v>
      </c>
      <c r="AY52" s="52">
        <f t="shared" si="64"/>
        <v>578204389.80000007</v>
      </c>
      <c r="AZ52" s="52">
        <f t="shared" si="64"/>
        <v>599614151.26666665</v>
      </c>
      <c r="BA52" s="52">
        <f t="shared" si="64"/>
        <v>623552623.73333347</v>
      </c>
      <c r="BB52" s="52">
        <f t="shared" si="64"/>
        <v>642855243.20000005</v>
      </c>
      <c r="BC52" s="52">
        <f>+BB52</f>
        <v>642855243.20000005</v>
      </c>
      <c r="BD52" s="52">
        <f t="shared" ref="BD52:BO52" si="65">+BD40+BD50</f>
        <v>670785430.66666675</v>
      </c>
      <c r="BE52" s="52">
        <f t="shared" si="65"/>
        <v>692797718.13333333</v>
      </c>
      <c r="BF52" s="52">
        <f t="shared" si="65"/>
        <v>707808931.60000002</v>
      </c>
      <c r="BG52" s="52">
        <f t="shared" si="65"/>
        <v>640825834.06666672</v>
      </c>
      <c r="BH52" s="52">
        <f t="shared" si="65"/>
        <v>666689099.5333333</v>
      </c>
      <c r="BI52" s="52">
        <f t="shared" si="65"/>
        <v>686007907</v>
      </c>
      <c r="BJ52" s="52">
        <f t="shared" si="65"/>
        <v>713284835.4666667</v>
      </c>
      <c r="BK52" s="52">
        <f t="shared" si="65"/>
        <v>734975703.9333334</v>
      </c>
      <c r="BL52" s="52">
        <f t="shared" si="65"/>
        <v>762145489.4000001</v>
      </c>
      <c r="BM52" s="52">
        <f t="shared" si="65"/>
        <v>785250010.86666667</v>
      </c>
      <c r="BN52" s="52">
        <f t="shared" si="65"/>
        <v>810791848.33333349</v>
      </c>
      <c r="BO52" s="52">
        <f t="shared" si="65"/>
        <v>831789226.80000007</v>
      </c>
      <c r="BP52" s="52">
        <f>+BO52</f>
        <v>831789226.80000007</v>
      </c>
    </row>
    <row r="53" spans="2:68" x14ac:dyDescent="0.2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</row>
    <row r="54" spans="2:68" x14ac:dyDescent="0.25">
      <c r="D54" s="24">
        <f t="shared" ref="D54:AP54" si="66">+D23-D52</f>
        <v>0</v>
      </c>
      <c r="E54" s="24">
        <f t="shared" si="66"/>
        <v>0</v>
      </c>
      <c r="F54" s="24">
        <f t="shared" si="66"/>
        <v>0</v>
      </c>
      <c r="G54" s="24">
        <f t="shared" si="66"/>
        <v>0</v>
      </c>
      <c r="H54" s="24">
        <f t="shared" si="66"/>
        <v>0</v>
      </c>
      <c r="I54" s="24">
        <f t="shared" si="66"/>
        <v>0</v>
      </c>
      <c r="J54" s="24">
        <f t="shared" si="66"/>
        <v>0</v>
      </c>
      <c r="K54" s="24">
        <f t="shared" si="66"/>
        <v>0</v>
      </c>
      <c r="L54" s="24">
        <f t="shared" si="66"/>
        <v>0</v>
      </c>
      <c r="M54" s="24">
        <f t="shared" si="66"/>
        <v>0</v>
      </c>
      <c r="N54" s="24">
        <f t="shared" si="66"/>
        <v>0</v>
      </c>
      <c r="O54" s="24">
        <f t="shared" si="66"/>
        <v>0</v>
      </c>
      <c r="P54" s="24">
        <f t="shared" si="66"/>
        <v>0</v>
      </c>
      <c r="Q54" s="24">
        <f t="shared" si="66"/>
        <v>0</v>
      </c>
      <c r="R54" s="24">
        <f t="shared" si="66"/>
        <v>0</v>
      </c>
      <c r="S54" s="24">
        <f t="shared" si="66"/>
        <v>0</v>
      </c>
      <c r="T54" s="24">
        <f t="shared" si="66"/>
        <v>0</v>
      </c>
      <c r="U54" s="24">
        <f t="shared" si="66"/>
        <v>0</v>
      </c>
      <c r="V54" s="24">
        <f t="shared" si="66"/>
        <v>0</v>
      </c>
      <c r="W54" s="24">
        <f t="shared" si="66"/>
        <v>0</v>
      </c>
      <c r="X54" s="24">
        <f t="shared" si="66"/>
        <v>0</v>
      </c>
      <c r="Y54" s="24">
        <f t="shared" si="66"/>
        <v>0</v>
      </c>
      <c r="Z54" s="24">
        <f t="shared" si="66"/>
        <v>0</v>
      </c>
      <c r="AA54" s="24">
        <f t="shared" si="66"/>
        <v>0</v>
      </c>
      <c r="AB54" s="24">
        <f t="shared" si="66"/>
        <v>0</v>
      </c>
      <c r="AC54" s="24">
        <f t="shared" si="66"/>
        <v>0</v>
      </c>
      <c r="AD54" s="24">
        <f t="shared" si="66"/>
        <v>0</v>
      </c>
      <c r="AE54" s="24">
        <f t="shared" si="66"/>
        <v>0</v>
      </c>
      <c r="AF54" s="24">
        <f t="shared" si="66"/>
        <v>0</v>
      </c>
      <c r="AG54" s="24">
        <f t="shared" si="66"/>
        <v>0</v>
      </c>
      <c r="AH54" s="24">
        <f t="shared" si="66"/>
        <v>0</v>
      </c>
      <c r="AI54" s="24">
        <f t="shared" si="66"/>
        <v>0</v>
      </c>
      <c r="AJ54" s="24">
        <f t="shared" si="66"/>
        <v>0</v>
      </c>
      <c r="AK54" s="24">
        <f t="shared" si="66"/>
        <v>0</v>
      </c>
      <c r="AL54" s="24">
        <f t="shared" si="66"/>
        <v>0</v>
      </c>
      <c r="AM54" s="24">
        <f t="shared" si="66"/>
        <v>0</v>
      </c>
      <c r="AN54" s="24">
        <f t="shared" si="66"/>
        <v>0</v>
      </c>
      <c r="AO54" s="24">
        <f t="shared" si="66"/>
        <v>0</v>
      </c>
      <c r="AP54" s="24">
        <f t="shared" si="66"/>
        <v>0</v>
      </c>
      <c r="AQ54" s="24">
        <f t="shared" ref="AQ54:BC54" si="67">+AQ23-AQ52</f>
        <v>0</v>
      </c>
      <c r="AR54" s="24">
        <f t="shared" si="67"/>
        <v>-23.000000059604645</v>
      </c>
      <c r="AS54" s="24">
        <f t="shared" si="67"/>
        <v>-23</v>
      </c>
      <c r="AT54" s="24">
        <f t="shared" si="67"/>
        <v>-23</v>
      </c>
      <c r="AU54" s="24">
        <f t="shared" si="67"/>
        <v>-22.999999940395355</v>
      </c>
      <c r="AV54" s="24">
        <f t="shared" si="67"/>
        <v>-23</v>
      </c>
      <c r="AW54" s="24">
        <f t="shared" si="67"/>
        <v>-23</v>
      </c>
      <c r="AX54" s="24">
        <f t="shared" si="67"/>
        <v>-22.99999988079071</v>
      </c>
      <c r="AY54" s="24">
        <f t="shared" si="67"/>
        <v>-23</v>
      </c>
      <c r="AZ54" s="24">
        <f t="shared" si="67"/>
        <v>-22.99999988079071</v>
      </c>
      <c r="BA54" s="24">
        <f t="shared" si="67"/>
        <v>-23</v>
      </c>
      <c r="BB54" s="24">
        <f t="shared" si="67"/>
        <v>-23</v>
      </c>
      <c r="BC54" s="24">
        <f t="shared" si="67"/>
        <v>-23</v>
      </c>
      <c r="BD54" s="24">
        <f t="shared" ref="BD54:BP54" si="68">+BD23-BD52</f>
        <v>-23</v>
      </c>
      <c r="BE54" s="24">
        <f t="shared" si="68"/>
        <v>-21.99999988079071</v>
      </c>
      <c r="BF54" s="24">
        <f t="shared" si="68"/>
        <v>-21.99999988079071</v>
      </c>
      <c r="BG54" s="24">
        <f t="shared" si="68"/>
        <v>-21.99999988079071</v>
      </c>
      <c r="BH54" s="24">
        <f t="shared" si="68"/>
        <v>-21.999999761581421</v>
      </c>
      <c r="BI54" s="24">
        <f t="shared" si="68"/>
        <v>-21.999999761581421</v>
      </c>
      <c r="BJ54" s="24">
        <f t="shared" si="68"/>
        <v>-21.999999761581421</v>
      </c>
      <c r="BK54" s="24">
        <f t="shared" si="68"/>
        <v>-31</v>
      </c>
      <c r="BL54" s="24">
        <f t="shared" si="68"/>
        <v>-31</v>
      </c>
      <c r="BM54" s="24">
        <f t="shared" si="68"/>
        <v>-30.99999988079071</v>
      </c>
      <c r="BN54" s="24">
        <f t="shared" si="68"/>
        <v>-31.00000011920929</v>
      </c>
      <c r="BO54" s="24">
        <f t="shared" si="68"/>
        <v>-31.00000011920929</v>
      </c>
      <c r="BP54" s="24">
        <f t="shared" si="68"/>
        <v>-31.00000011920929</v>
      </c>
    </row>
    <row r="55" spans="2:68" x14ac:dyDescent="0.2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</row>
    <row r="56" spans="2:68" x14ac:dyDescent="0.2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</row>
    <row r="57" spans="2:68" x14ac:dyDescent="0.25">
      <c r="B57" s="26" t="s">
        <v>150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</row>
    <row r="58" spans="2:68" x14ac:dyDescent="0.2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</row>
    <row r="59" spans="2:68" x14ac:dyDescent="0.25">
      <c r="C59" s="42" t="s">
        <v>149</v>
      </c>
      <c r="D59" s="24">
        <f>+'INGRESOS '!G16</f>
        <v>25600000</v>
      </c>
      <c r="E59" s="24">
        <f>+D59+'INGRESOS '!H16</f>
        <v>51200000</v>
      </c>
      <c r="F59" s="24">
        <f>+E59+'INGRESOS '!I16</f>
        <v>76800000</v>
      </c>
      <c r="G59" s="24">
        <f>+F59+'INGRESOS '!J16</f>
        <v>102400000</v>
      </c>
      <c r="H59" s="24">
        <f>+G59+'INGRESOS '!K16</f>
        <v>128000000</v>
      </c>
      <c r="I59" s="24">
        <f>+H59+'INGRESOS '!L16</f>
        <v>153600000</v>
      </c>
      <c r="J59" s="24">
        <f>+I59+'INGRESOS '!M16</f>
        <v>204800000</v>
      </c>
      <c r="K59" s="24">
        <f>+J59+'INGRESOS '!N16</f>
        <v>256000000</v>
      </c>
      <c r="L59" s="24">
        <f>+K59+'INGRESOS '!O16</f>
        <v>307200000</v>
      </c>
      <c r="M59" s="24">
        <f>+L59+'INGRESOS '!P16</f>
        <v>358400000</v>
      </c>
      <c r="N59" s="24">
        <f>+M59+'INGRESOS '!Q16</f>
        <v>409600000</v>
      </c>
      <c r="O59" s="24">
        <f>+N59+'INGRESOS '!R16</f>
        <v>460800000</v>
      </c>
      <c r="P59" s="24">
        <f>+O59</f>
        <v>460800000</v>
      </c>
      <c r="Q59" s="24">
        <f>+'INGRESOS '!T16</f>
        <v>53248000</v>
      </c>
      <c r="R59" s="24">
        <f>+Q59+'INGRESOS '!U16</f>
        <v>106496000</v>
      </c>
      <c r="S59" s="24">
        <f>+R59+'INGRESOS '!V16</f>
        <v>159744000</v>
      </c>
      <c r="T59" s="24">
        <f>+S59+'INGRESOS '!W16</f>
        <v>212992000</v>
      </c>
      <c r="U59" s="24">
        <f>+T59+'INGRESOS '!X16</f>
        <v>266240000</v>
      </c>
      <c r="V59" s="24">
        <f>+U59+'INGRESOS '!Y16</f>
        <v>319488000</v>
      </c>
      <c r="W59" s="24">
        <f>+V59+'INGRESOS '!Z16</f>
        <v>399360000</v>
      </c>
      <c r="X59" s="24">
        <f>+W59+'INGRESOS '!AA16</f>
        <v>479232000</v>
      </c>
      <c r="Y59" s="24">
        <f>+X59+'INGRESOS '!AB16</f>
        <v>559104000</v>
      </c>
      <c r="Z59" s="24">
        <f>+Y59+'INGRESOS '!AC16</f>
        <v>638976000</v>
      </c>
      <c r="AA59" s="24">
        <f>+Z59+'INGRESOS '!AD16</f>
        <v>718848000</v>
      </c>
      <c r="AB59" s="24">
        <f>+AA59+'INGRESOS '!AE16</f>
        <v>798720000</v>
      </c>
      <c r="AC59" s="24">
        <f>+AB59</f>
        <v>798720000</v>
      </c>
      <c r="AD59" s="24">
        <f>+'INGRESOS '!AG16</f>
        <v>83066880</v>
      </c>
      <c r="AE59" s="24">
        <f>+AD59+'INGRESOS '!AH16</f>
        <v>166133760</v>
      </c>
      <c r="AF59" s="24">
        <f>+AE59+'INGRESOS '!AI16</f>
        <v>249200640</v>
      </c>
      <c r="AG59" s="24">
        <f>+AF59+'INGRESOS '!AJ16</f>
        <v>332267520</v>
      </c>
      <c r="AH59" s="24">
        <f>+AG59+'INGRESOS '!AK16</f>
        <v>415334400</v>
      </c>
      <c r="AI59" s="24">
        <f>+AH59+'INGRESOS '!AL16</f>
        <v>498401280</v>
      </c>
      <c r="AJ59" s="24">
        <f>+AI59+'INGRESOS '!AM16</f>
        <v>581468160</v>
      </c>
      <c r="AK59" s="24">
        <f>+AJ59+'INGRESOS '!AN16</f>
        <v>664535040</v>
      </c>
      <c r="AL59" s="24">
        <f>+AK59+'INGRESOS '!AO16</f>
        <v>747601920</v>
      </c>
      <c r="AM59" s="24">
        <f>+AL59+'INGRESOS '!AP16</f>
        <v>830668800</v>
      </c>
      <c r="AN59" s="24">
        <f>+AM59+'INGRESOS '!AQ16</f>
        <v>913735680</v>
      </c>
      <c r="AO59" s="24">
        <f>+AN59+'INGRESOS '!AR16</f>
        <v>996802560</v>
      </c>
      <c r="AP59" s="24">
        <f>+AO59</f>
        <v>996802560</v>
      </c>
      <c r="AQ59" s="24">
        <f>+'INGRESOS '!AT16</f>
        <v>86389440</v>
      </c>
      <c r="AR59" s="24">
        <f>+AQ59+'INGRESOS '!AU16</f>
        <v>172778880</v>
      </c>
      <c r="AS59" s="24">
        <f>+AR59+'INGRESOS '!AV16</f>
        <v>259168320</v>
      </c>
      <c r="AT59" s="24">
        <f>+AS59+'INGRESOS '!AW16</f>
        <v>345557760</v>
      </c>
      <c r="AU59" s="24">
        <f>+AT59+'INGRESOS '!AX16</f>
        <v>431947200</v>
      </c>
      <c r="AV59" s="24">
        <f>+AU59+'INGRESOS '!AY16</f>
        <v>518336640</v>
      </c>
      <c r="AW59" s="24">
        <f>+AV59+'INGRESOS '!AZ16</f>
        <v>604726080</v>
      </c>
      <c r="AX59" s="24">
        <f>+AW59+'INGRESOS '!BA16</f>
        <v>691115520</v>
      </c>
      <c r="AY59" s="24">
        <f>+AX59+'INGRESOS '!BB16</f>
        <v>777504960</v>
      </c>
      <c r="AZ59" s="24">
        <f>+AY59+'INGRESOS '!BC16</f>
        <v>863894400</v>
      </c>
      <c r="BA59" s="24">
        <f>+AZ59+'INGRESOS '!BD16</f>
        <v>950283840</v>
      </c>
      <c r="BB59" s="24">
        <f>+BA59+'INGRESOS '!BE16</f>
        <v>1036673280</v>
      </c>
      <c r="BC59" s="24">
        <f>+BB59</f>
        <v>1036673280</v>
      </c>
      <c r="BD59" s="24">
        <f>+'INGRESOS '!BG16</f>
        <v>89845440</v>
      </c>
      <c r="BE59" s="24">
        <f>+BD59+'INGRESOS '!BH16</f>
        <v>179690880</v>
      </c>
      <c r="BF59" s="24">
        <f>+BE59+'INGRESOS '!BI16</f>
        <v>269536320</v>
      </c>
      <c r="BG59" s="24">
        <f>+BF59+'INGRESOS '!BJ16</f>
        <v>359381760</v>
      </c>
      <c r="BH59" s="24">
        <f>+BG59+'INGRESOS '!BK16</f>
        <v>449227200</v>
      </c>
      <c r="BI59" s="24">
        <f>+BH59+'INGRESOS '!BL16</f>
        <v>539072640</v>
      </c>
      <c r="BJ59" s="24">
        <f>+BI59+'INGRESOS '!BM16</f>
        <v>628918080</v>
      </c>
      <c r="BK59" s="24">
        <f>+BJ59+'INGRESOS '!BN16</f>
        <v>718763520</v>
      </c>
      <c r="BL59" s="24">
        <f>+BK59+'INGRESOS '!BO16</f>
        <v>808608960</v>
      </c>
      <c r="BM59" s="24">
        <f>+BL59+'INGRESOS '!BP16</f>
        <v>898454400</v>
      </c>
      <c r="BN59" s="24">
        <f>+BM59+'INGRESOS '!BQ16</f>
        <v>988299840</v>
      </c>
      <c r="BO59" s="24">
        <f>+BN59+'INGRESOS '!BR16</f>
        <v>1078145280</v>
      </c>
      <c r="BP59" s="24">
        <f>+BO59</f>
        <v>1078145280</v>
      </c>
    </row>
    <row r="60" spans="2:68" x14ac:dyDescent="0.2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</row>
    <row r="61" spans="2:68" x14ac:dyDescent="0.25">
      <c r="C61" t="s">
        <v>148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f>+O61</f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f>+AB61</f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f>+AO61</f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f>+BB61</f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  <c r="BP61" s="24">
        <f>+BO61</f>
        <v>0</v>
      </c>
    </row>
    <row r="62" spans="2:68" x14ac:dyDescent="0.2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</row>
    <row r="63" spans="2:68" x14ac:dyDescent="0.25">
      <c r="C63" s="26" t="s">
        <v>147</v>
      </c>
      <c r="D63" s="50">
        <f>SUM(D59:D62)</f>
        <v>25600000</v>
      </c>
      <c r="E63" s="50">
        <f t="shared" ref="E63:O63" si="69">SUM(E59:E62)</f>
        <v>51200000</v>
      </c>
      <c r="F63" s="50">
        <f t="shared" si="69"/>
        <v>76800000</v>
      </c>
      <c r="G63" s="50">
        <f t="shared" si="69"/>
        <v>102400000</v>
      </c>
      <c r="H63" s="50">
        <f t="shared" si="69"/>
        <v>128000000</v>
      </c>
      <c r="I63" s="50">
        <f t="shared" si="69"/>
        <v>153600000</v>
      </c>
      <c r="J63" s="50">
        <f t="shared" si="69"/>
        <v>204800000</v>
      </c>
      <c r="K63" s="50">
        <f t="shared" si="69"/>
        <v>256000000</v>
      </c>
      <c r="L63" s="50">
        <f t="shared" si="69"/>
        <v>307200000</v>
      </c>
      <c r="M63" s="50">
        <f t="shared" si="69"/>
        <v>358400000</v>
      </c>
      <c r="N63" s="50">
        <f t="shared" si="69"/>
        <v>409600000</v>
      </c>
      <c r="O63" s="50">
        <f t="shared" si="69"/>
        <v>460800000</v>
      </c>
      <c r="P63" s="50">
        <f>+O63</f>
        <v>460800000</v>
      </c>
      <c r="Q63" s="50">
        <f t="shared" ref="Q63:AB63" si="70">SUM(Q59:Q62)</f>
        <v>53248000</v>
      </c>
      <c r="R63" s="50">
        <f t="shared" si="70"/>
        <v>106496000</v>
      </c>
      <c r="S63" s="50">
        <f t="shared" si="70"/>
        <v>159744000</v>
      </c>
      <c r="T63" s="50">
        <f t="shared" si="70"/>
        <v>212992000</v>
      </c>
      <c r="U63" s="50">
        <f t="shared" si="70"/>
        <v>266240000</v>
      </c>
      <c r="V63" s="50">
        <f t="shared" si="70"/>
        <v>319488000</v>
      </c>
      <c r="W63" s="50">
        <f t="shared" si="70"/>
        <v>399360000</v>
      </c>
      <c r="X63" s="50">
        <f t="shared" si="70"/>
        <v>479232000</v>
      </c>
      <c r="Y63" s="50">
        <f t="shared" si="70"/>
        <v>559104000</v>
      </c>
      <c r="Z63" s="50">
        <f t="shared" si="70"/>
        <v>638976000</v>
      </c>
      <c r="AA63" s="50">
        <f t="shared" si="70"/>
        <v>718848000</v>
      </c>
      <c r="AB63" s="50">
        <f t="shared" si="70"/>
        <v>798720000</v>
      </c>
      <c r="AC63" s="50">
        <f>+AB63</f>
        <v>798720000</v>
      </c>
      <c r="AD63" s="50">
        <f>SUM(AD59:AD62)</f>
        <v>83066880</v>
      </c>
      <c r="AE63" s="50">
        <f t="shared" ref="AE63:AO63" si="71">SUM(AE59:AE62)</f>
        <v>166133760</v>
      </c>
      <c r="AF63" s="50">
        <f t="shared" si="71"/>
        <v>249200640</v>
      </c>
      <c r="AG63" s="50">
        <f t="shared" si="71"/>
        <v>332267520</v>
      </c>
      <c r="AH63" s="50">
        <f t="shared" si="71"/>
        <v>415334400</v>
      </c>
      <c r="AI63" s="50">
        <f t="shared" si="71"/>
        <v>498401280</v>
      </c>
      <c r="AJ63" s="50">
        <f t="shared" si="71"/>
        <v>581468160</v>
      </c>
      <c r="AK63" s="50">
        <f t="shared" si="71"/>
        <v>664535040</v>
      </c>
      <c r="AL63" s="50">
        <f t="shared" si="71"/>
        <v>747601920</v>
      </c>
      <c r="AM63" s="50">
        <f t="shared" si="71"/>
        <v>830668800</v>
      </c>
      <c r="AN63" s="50">
        <f t="shared" si="71"/>
        <v>913735680</v>
      </c>
      <c r="AO63" s="50">
        <f t="shared" si="71"/>
        <v>996802560</v>
      </c>
      <c r="AP63" s="50">
        <f>+AO63</f>
        <v>996802560</v>
      </c>
      <c r="AQ63" s="50">
        <f t="shared" ref="AQ63:BB63" si="72">SUM(AQ59:AQ62)</f>
        <v>86389440</v>
      </c>
      <c r="AR63" s="50">
        <f t="shared" si="72"/>
        <v>172778880</v>
      </c>
      <c r="AS63" s="50">
        <f t="shared" si="72"/>
        <v>259168320</v>
      </c>
      <c r="AT63" s="50">
        <f t="shared" si="72"/>
        <v>345557760</v>
      </c>
      <c r="AU63" s="50">
        <f t="shared" si="72"/>
        <v>431947200</v>
      </c>
      <c r="AV63" s="50">
        <f t="shared" si="72"/>
        <v>518336640</v>
      </c>
      <c r="AW63" s="50">
        <f t="shared" si="72"/>
        <v>604726080</v>
      </c>
      <c r="AX63" s="50">
        <f t="shared" si="72"/>
        <v>691115520</v>
      </c>
      <c r="AY63" s="50">
        <f t="shared" si="72"/>
        <v>777504960</v>
      </c>
      <c r="AZ63" s="50">
        <f t="shared" si="72"/>
        <v>863894400</v>
      </c>
      <c r="BA63" s="50">
        <f t="shared" si="72"/>
        <v>950283840</v>
      </c>
      <c r="BB63" s="50">
        <f t="shared" si="72"/>
        <v>1036673280</v>
      </c>
      <c r="BC63" s="50">
        <f>+BB63</f>
        <v>1036673280</v>
      </c>
      <c r="BD63" s="50">
        <f t="shared" ref="BD63:BO63" si="73">SUM(BD59:BD62)</f>
        <v>89845440</v>
      </c>
      <c r="BE63" s="50">
        <f t="shared" si="73"/>
        <v>179690880</v>
      </c>
      <c r="BF63" s="50">
        <f t="shared" si="73"/>
        <v>269536320</v>
      </c>
      <c r="BG63" s="50">
        <f t="shared" si="73"/>
        <v>359381760</v>
      </c>
      <c r="BH63" s="50">
        <f t="shared" si="73"/>
        <v>449227200</v>
      </c>
      <c r="BI63" s="50">
        <f t="shared" si="73"/>
        <v>539072640</v>
      </c>
      <c r="BJ63" s="50">
        <f t="shared" si="73"/>
        <v>628918080</v>
      </c>
      <c r="BK63" s="50">
        <f t="shared" si="73"/>
        <v>718763520</v>
      </c>
      <c r="BL63" s="50">
        <f t="shared" si="73"/>
        <v>808608960</v>
      </c>
      <c r="BM63" s="50">
        <f t="shared" si="73"/>
        <v>898454400</v>
      </c>
      <c r="BN63" s="50">
        <f t="shared" si="73"/>
        <v>988299840</v>
      </c>
      <c r="BO63" s="50">
        <f t="shared" si="73"/>
        <v>1078145280</v>
      </c>
      <c r="BP63" s="50">
        <f>+BO63</f>
        <v>1078145280</v>
      </c>
    </row>
    <row r="64" spans="2:68" x14ac:dyDescent="0.2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2:68" x14ac:dyDescent="0.25">
      <c r="B65" s="26" t="s">
        <v>146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</row>
    <row r="66" spans="2:68" x14ac:dyDescent="0.25">
      <c r="C66" t="s">
        <v>145</v>
      </c>
      <c r="D66" s="24">
        <f>+NOMINA!D29+ADMINISTRATIVOS!C32</f>
        <v>21724914</v>
      </c>
      <c r="E66" s="24">
        <f>+NOMINA!E29+D66+ADMINISTRATIVOS!D32</f>
        <v>39699828</v>
      </c>
      <c r="F66" s="24">
        <f>+NOMINA!F29+E66+ADMINISTRATIVOS!E32</f>
        <v>57674742</v>
      </c>
      <c r="G66" s="24">
        <f>+NOMINA!G29+F66+ADMINISTRATIVOS!F32</f>
        <v>76149656</v>
      </c>
      <c r="H66" s="24">
        <f>+NOMINA!H29+G66+ADMINISTRATIVOS!G32</f>
        <v>94124570</v>
      </c>
      <c r="I66" s="24">
        <f>+NOMINA!I29+H66+ADMINISTRATIVOS!H32</f>
        <v>112099484</v>
      </c>
      <c r="J66" s="24">
        <f>+NOMINA!J29+I66+ADMINISTRATIVOS!I32</f>
        <v>135696321</v>
      </c>
      <c r="K66" s="24">
        <f>+NOMINA!K29+J66+ADMINISTRATIVOS!J32</f>
        <v>158393158</v>
      </c>
      <c r="L66" s="24">
        <f>+NOMINA!L29+K66+ADMINISTRATIVOS!K32</f>
        <v>181089995</v>
      </c>
      <c r="M66" s="24">
        <f>+NOMINA!M29+L66+ADMINISTRATIVOS!L32</f>
        <v>204686832</v>
      </c>
      <c r="N66" s="24">
        <f>+NOMINA!N29+M66+ADMINISTRATIVOS!M32</f>
        <v>227383669</v>
      </c>
      <c r="O66" s="24">
        <f>+NOMINA!O29+N66+ADMINISTRATIVOS!N32</f>
        <v>250080506</v>
      </c>
      <c r="P66" s="24">
        <f>+O66</f>
        <v>250080506</v>
      </c>
      <c r="Q66" s="24">
        <f>+NOMINA!Q29+ADMINISTRATIVOS!P32</f>
        <v>27320404</v>
      </c>
      <c r="R66" s="24">
        <f>+Q66+NOMINA!R29+ADMINISTRATIVOS!Q32</f>
        <v>53704808</v>
      </c>
      <c r="S66" s="24">
        <f>+R66+NOMINA!S29+ADMINISTRATIVOS!R32</f>
        <v>80089212</v>
      </c>
      <c r="T66" s="24">
        <f>+S66+NOMINA!T29+ADMINISTRATIVOS!S32</f>
        <v>108409616</v>
      </c>
      <c r="U66" s="24">
        <f>+T66+NOMINA!U29+ADMINISTRATIVOS!T32</f>
        <v>134794020</v>
      </c>
      <c r="V66" s="24">
        <f>+U66+NOMINA!V29+ADMINISTRATIVOS!U32</f>
        <v>161178424</v>
      </c>
      <c r="W66" s="24">
        <f>+V66+NOMINA!W29+ADMINISTRATIVOS!V32</f>
        <v>194519992</v>
      </c>
      <c r="X66" s="24">
        <f>+W66+NOMINA!X29+ADMINISTRATIVOS!W32</f>
        <v>226509560</v>
      </c>
      <c r="Y66" s="24">
        <f>+X66+NOMINA!Y29+ADMINISTRATIVOS!X32</f>
        <v>258499128</v>
      </c>
      <c r="Z66" s="24">
        <f>+Y66+NOMINA!Z29+ADMINISTRATIVOS!Y32</f>
        <v>291840696</v>
      </c>
      <c r="AA66" s="24">
        <f>+Z66+NOMINA!AA29+ADMINISTRATIVOS!Z32</f>
        <v>323830264</v>
      </c>
      <c r="AB66" s="24">
        <f>+AA66+NOMINA!AB29+ADMINISTRATIVOS!AA32</f>
        <v>355819832</v>
      </c>
      <c r="AC66" s="24">
        <f>+AB66</f>
        <v>355819832</v>
      </c>
      <c r="AD66" s="24">
        <f>+NOMINA!AD29+ADMINISTRATIVOS!AC32</f>
        <v>37599894</v>
      </c>
      <c r="AE66" s="24">
        <f>+AD66+NOMINA!AE29+ADMINISTRATIVOS!AD32</f>
        <v>73793708</v>
      </c>
      <c r="AF66" s="24">
        <f>+AE66+NOMINA!AF29+ADMINISTRATIVOS!AE32</f>
        <v>109987522</v>
      </c>
      <c r="AG66" s="24">
        <f>+AF66+NOMINA!AG29+ADMINISTRATIVOS!AF32</f>
        <v>148787416</v>
      </c>
      <c r="AH66" s="24">
        <f>+AG66+NOMINA!AH29+ADMINISTRATIVOS!AG32</f>
        <v>184981230</v>
      </c>
      <c r="AI66" s="24">
        <f>+AH66+NOMINA!AI29+ADMINISTRATIVOS!AH32</f>
        <v>221175044</v>
      </c>
      <c r="AJ66" s="24">
        <f>+AI66+NOMINA!AJ29+ADMINISTRATIVOS!AI32</f>
        <v>258774938</v>
      </c>
      <c r="AK66" s="24">
        <f>+AJ66+NOMINA!AK29+ADMINISTRATIVOS!AJ32</f>
        <v>294968752</v>
      </c>
      <c r="AL66" s="24">
        <f>+AK66+NOMINA!AL29+ADMINISTRATIVOS!AK32</f>
        <v>331162566</v>
      </c>
      <c r="AM66" s="24">
        <f>+AL66+NOMINA!AM29+ADMINISTRATIVOS!AL32</f>
        <v>368762460</v>
      </c>
      <c r="AN66" s="24">
        <f>+AM66+NOMINA!AN29+ADMINISTRATIVOS!AM32</f>
        <v>404956274</v>
      </c>
      <c r="AO66" s="24">
        <f>+AN66+NOMINA!AO29+ADMINISTRATIVOS!AN32</f>
        <v>441150088</v>
      </c>
      <c r="AP66" s="24">
        <f>+AO66</f>
        <v>441150088</v>
      </c>
      <c r="AQ66" s="24">
        <f>+NOMINA!AQ29+ADMINISTRATIVOS!AP32</f>
        <v>38760701</v>
      </c>
      <c r="AR66" s="24">
        <f>+AQ66+NOMINA!AR29+ADMINISTRATIVOS!AQ32</f>
        <v>76059084</v>
      </c>
      <c r="AS66" s="24">
        <f>+AR66+NOMINA!AS29+ADMINISTRATIVOS!AR32</f>
        <v>113357467</v>
      </c>
      <c r="AT66" s="24">
        <f>+AS66+NOMINA!AT29+ADMINISTRATIVOS!AS32</f>
        <v>153318168</v>
      </c>
      <c r="AU66" s="24">
        <f>+AT66+NOMINA!AU29+ADMINISTRATIVOS!AT32</f>
        <v>190616551</v>
      </c>
      <c r="AV66" s="24">
        <f>+AU66+NOMINA!AV29+ADMINISTRATIVOS!AU32</f>
        <v>227914934</v>
      </c>
      <c r="AW66" s="24">
        <f>+AV66+NOMINA!AW29+ADMINISTRATIVOS!AV32</f>
        <v>266675635</v>
      </c>
      <c r="AX66" s="24">
        <f>+AW66+NOMINA!AX29+ADMINISTRATIVOS!AW32</f>
        <v>303974018</v>
      </c>
      <c r="AY66" s="24">
        <f>+AX66+NOMINA!AY29+ADMINISTRATIVOS!AX32</f>
        <v>341272401</v>
      </c>
      <c r="AZ66" s="24">
        <f>+AY66+NOMINA!AZ29+ADMINISTRATIVOS!AY32</f>
        <v>380033102</v>
      </c>
      <c r="BA66" s="24">
        <f>+AZ66+NOMINA!BA29+ADMINISTRATIVOS!AZ32</f>
        <v>417331485</v>
      </c>
      <c r="BB66" s="24">
        <f>+BA66+NOMINA!BB29+ADMINISTRATIVOS!BA32</f>
        <v>454629868</v>
      </c>
      <c r="BC66" s="24">
        <f>+BB66</f>
        <v>454629868</v>
      </c>
      <c r="BD66" s="24">
        <f>+NOMINA!BD29+ADMINISTRATIVOS!BC32</f>
        <v>39937571</v>
      </c>
      <c r="BE66" s="24">
        <f>+BD66+NOMINA!BE29+ADMINISTRATIVOS!BD32</f>
        <v>78354337</v>
      </c>
      <c r="BF66" s="24">
        <f>+BE66+NOMINA!BF29+ADMINISTRATIVOS!BE32</f>
        <v>116771103</v>
      </c>
      <c r="BG66" s="24">
        <f>+BF66+NOMINA!BG29+ADMINISTRATIVOS!BF32</f>
        <v>157908674</v>
      </c>
      <c r="BH66" s="24">
        <f>+BG66+NOMINA!BH29+ADMINISTRATIVOS!BG32</f>
        <v>196325440</v>
      </c>
      <c r="BI66" s="24">
        <f>+BH66+NOMINA!BI29+ADMINISTRATIVOS!BH32</f>
        <v>234742206</v>
      </c>
      <c r="BJ66" s="24">
        <f>+BI66+NOMINA!BJ29+ADMINISTRATIVOS!BI32</f>
        <v>274679777</v>
      </c>
      <c r="BK66" s="24">
        <f>+BJ66+NOMINA!BK29+ADMINISTRATIVOS!BJ32</f>
        <v>313096543</v>
      </c>
      <c r="BL66" s="24">
        <f>+BK66+NOMINA!BL29+ADMINISTRATIVOS!BK32</f>
        <v>351513309</v>
      </c>
      <c r="BM66" s="24">
        <f>+BL66+NOMINA!BM29+ADMINISTRATIVOS!BL32</f>
        <v>391450880</v>
      </c>
      <c r="BN66" s="24">
        <f>+BM66+NOMINA!BN29+ADMINISTRATIVOS!BM32</f>
        <v>429867646</v>
      </c>
      <c r="BO66" s="24">
        <f>+BN66+NOMINA!BO29+ADMINISTRATIVOS!BN32</f>
        <v>468284412</v>
      </c>
      <c r="BP66" s="24">
        <f>+BO66</f>
        <v>468284412</v>
      </c>
    </row>
    <row r="67" spans="2:68" x14ac:dyDescent="0.2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</row>
    <row r="68" spans="2:68" x14ac:dyDescent="0.25">
      <c r="C68" s="42" t="s">
        <v>144</v>
      </c>
      <c r="D68" s="24">
        <f>+'VEHICULOS '!D66</f>
        <v>4147054</v>
      </c>
      <c r="E68" s="24">
        <f>+D68+'VEHICULOS '!E66</f>
        <v>9311966</v>
      </c>
      <c r="F68" s="24">
        <f>+E68+'VEHICULOS '!F66</f>
        <v>13494735</v>
      </c>
      <c r="G68" s="24">
        <f>+F68+'VEHICULOS '!G66</f>
        <v>19695361</v>
      </c>
      <c r="H68" s="24">
        <f>+G68+'VEHICULOS '!H66</f>
        <v>23913844</v>
      </c>
      <c r="I68" s="24">
        <f>+H68+'VEHICULOS '!I66</f>
        <v>29650184</v>
      </c>
      <c r="J68" s="24">
        <f>+I68+'VEHICULOS '!J66</f>
        <v>38158580</v>
      </c>
      <c r="K68" s="24">
        <f>+J68+'VEHICULOS '!K66</f>
        <v>49202690</v>
      </c>
      <c r="L68" s="24">
        <f>+K68+'VEHICULOS '!L66</f>
        <v>57782514</v>
      </c>
      <c r="M68" s="24">
        <f>+L68+'VEHICULOS '!M66</f>
        <v>71398052</v>
      </c>
      <c r="N68" s="24">
        <f>+M68+'VEHICULOS '!N66</f>
        <v>80049305</v>
      </c>
      <c r="O68" s="24">
        <f>+N68+'VEHICULOS '!O66</f>
        <v>93736272</v>
      </c>
      <c r="P68" s="24">
        <f>+O68</f>
        <v>93736272</v>
      </c>
      <c r="Q68" s="24">
        <f>+'VEHICULOS '!Q66</f>
        <v>8830159</v>
      </c>
      <c r="R68" s="24">
        <f>+Q68+'VEHICULOS '!R66</f>
        <v>20816033</v>
      </c>
      <c r="S68" s="24">
        <f>+R68+'VEHICULOS '!S66</f>
        <v>29717621</v>
      </c>
      <c r="T68" s="24">
        <f>+S68+'VEHICULOS '!T66</f>
        <v>41774923</v>
      </c>
      <c r="U68" s="24">
        <f>+T68+'VEHICULOS '!U66</f>
        <v>50747939</v>
      </c>
      <c r="V68" s="24">
        <f>+U68+'VEHICULOS '!V66</f>
        <v>64876670</v>
      </c>
      <c r="W68" s="24">
        <f>+V68+'VEHICULOS '!W66</f>
        <v>78443338</v>
      </c>
      <c r="X68" s="24">
        <f>+W68+'VEHICULOS '!X66</f>
        <v>96223577</v>
      </c>
      <c r="Y68" s="24">
        <f>+X68+'VEHICULOS '!Y66</f>
        <v>109897388</v>
      </c>
      <c r="Z68" s="24">
        <f>+Y68+'VEHICULOS '!Z66</f>
        <v>128824770</v>
      </c>
      <c r="AA68" s="24">
        <f>+Z68+'VEHICULOS '!AA66</f>
        <v>142605724</v>
      </c>
      <c r="AB68" s="24">
        <f>+AA68+'VEHICULOS '!AB66</f>
        <v>163120249</v>
      </c>
      <c r="AC68" s="24">
        <f>+AB68</f>
        <v>163120249</v>
      </c>
      <c r="AD68" s="24">
        <f>+'VEHICULOS '!AD66</f>
        <v>14055762.199999999</v>
      </c>
      <c r="AE68" s="24">
        <f>+AD68+'VEHICULOS '!AE66</f>
        <v>33032295.399999999</v>
      </c>
      <c r="AF68" s="24">
        <f>+AE68+'VEHICULOS '!AF66</f>
        <v>47195199.599999994</v>
      </c>
      <c r="AG68" s="24">
        <f>+AF68+'VEHICULOS '!AG66</f>
        <v>66278875.799999997</v>
      </c>
      <c r="AH68" s="24">
        <f>+AG68+'VEHICULOS '!AH66</f>
        <v>80548923</v>
      </c>
      <c r="AI68" s="24">
        <f>+AH68+'VEHICULOS '!AI66</f>
        <v>103739742.2</v>
      </c>
      <c r="AJ68" s="24">
        <f>+AI68+'VEHICULOS '!AJ66</f>
        <v>118116932.40000001</v>
      </c>
      <c r="AK68" s="24">
        <f>+AJ68+'VEHICULOS '!AK66</f>
        <v>137414894.59999999</v>
      </c>
      <c r="AL68" s="24">
        <f>+AK68+'VEHICULOS '!AL66</f>
        <v>151899227.79999998</v>
      </c>
      <c r="AM68" s="24">
        <f>+AL68+'VEHICULOS '!AM66</f>
        <v>171304331.99999997</v>
      </c>
      <c r="AN68" s="24">
        <f>+AM68+'VEHICULOS '!AN66</f>
        <v>185895808.19999996</v>
      </c>
      <c r="AO68" s="24">
        <f>+AN68+'VEHICULOS '!AO66</f>
        <v>207408055.39999995</v>
      </c>
      <c r="AP68" s="24">
        <f>+AO68</f>
        <v>207408055.39999995</v>
      </c>
      <c r="AQ68" s="24">
        <f>+'VEHICULOS '!AQ66</f>
        <v>14698619.199999999</v>
      </c>
      <c r="AR68" s="24">
        <f>+AQ68+'VEHICULOS '!AR66</f>
        <v>34318009.399999999</v>
      </c>
      <c r="AS68" s="24">
        <f>+AR68+'VEHICULOS '!AS66</f>
        <v>49123771.599999994</v>
      </c>
      <c r="AT68" s="24">
        <f>+AS68+'VEHICULOS '!AT66</f>
        <v>68850304.799999997</v>
      </c>
      <c r="AU68" s="24">
        <f>+AT68+'VEHICULOS '!AU66</f>
        <v>83763209</v>
      </c>
      <c r="AV68" s="24">
        <f>+AU68+'VEHICULOS '!AV66</f>
        <v>107596885.2</v>
      </c>
      <c r="AW68" s="24">
        <f>+AV68+'VEHICULOS '!AW66</f>
        <v>122616932.40000001</v>
      </c>
      <c r="AX68" s="24">
        <f>+AW68+'VEHICULOS '!AX66</f>
        <v>142557751.59999999</v>
      </c>
      <c r="AY68" s="24">
        <f>+AX68+'VEHICULOS '!AY66</f>
        <v>157684941.79999998</v>
      </c>
      <c r="AZ68" s="24">
        <f>+AY68+'VEHICULOS '!AZ66</f>
        <v>177732903.99999997</v>
      </c>
      <c r="BA68" s="24">
        <f>+AZ68+'VEHICULOS '!BA66</f>
        <v>192967237.19999996</v>
      </c>
      <c r="BB68" s="24">
        <f>+BA68+'VEHICULOS '!BB66</f>
        <v>215122341.39999995</v>
      </c>
      <c r="BC68" s="24">
        <f>+BB68</f>
        <v>215122341.39999995</v>
      </c>
      <c r="BD68" s="24">
        <f>+'VEHICULOS '!BD66</f>
        <v>15341476.199999999</v>
      </c>
      <c r="BE68" s="24">
        <f>+BD68+'VEHICULOS '!BE66</f>
        <v>35603723.399999999</v>
      </c>
      <c r="BF68" s="24">
        <f>+BE68+'VEHICULOS '!BF66</f>
        <v>51052342.599999994</v>
      </c>
      <c r="BG68" s="24">
        <f>+BF68+'VEHICULOS '!BG66</f>
        <v>71421732.799999997</v>
      </c>
      <c r="BH68" s="24">
        <f>+BG68+'VEHICULOS '!BH66</f>
        <v>86977495</v>
      </c>
      <c r="BI68" s="24">
        <f>+BH68+'VEHICULOS '!BI66</f>
        <v>111454028.2</v>
      </c>
      <c r="BJ68" s="24">
        <f>+BI68+'VEHICULOS '!BJ66</f>
        <v>127116932.40000001</v>
      </c>
      <c r="BK68" s="24">
        <f>+BJ68+'VEHICULOS '!BK66</f>
        <v>147700608.59999999</v>
      </c>
      <c r="BL68" s="24">
        <f>+BK68+'VEHICULOS '!BL66</f>
        <v>163470655.79999998</v>
      </c>
      <c r="BM68" s="24">
        <f>+BL68+'VEHICULOS '!BM66</f>
        <v>184161474.99999997</v>
      </c>
      <c r="BN68" s="24">
        <f>+BM68+'VEHICULOS '!BN66</f>
        <v>200038665.19999996</v>
      </c>
      <c r="BO68" s="24">
        <f>+BN68+'VEHICULOS '!BO66</f>
        <v>222836627.39999995</v>
      </c>
      <c r="BP68" s="24">
        <f>+BO68</f>
        <v>222836627.39999995</v>
      </c>
    </row>
    <row r="69" spans="2:68" x14ac:dyDescent="0.2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</row>
    <row r="70" spans="2:68" x14ac:dyDescent="0.25">
      <c r="C70" t="s">
        <v>143</v>
      </c>
    </row>
    <row r="71" spans="2:68" x14ac:dyDescent="0.25">
      <c r="C71" t="s">
        <v>142</v>
      </c>
      <c r="D71" s="24">
        <f>+'VEHICULOS '!D8+ADMINISTRATIVOS!C9</f>
        <v>2716666.6666666665</v>
      </c>
      <c r="E71" s="24">
        <f>+D71+'VEHICULOS '!E8+ADMINISTRATIVOS!D9</f>
        <v>5433333.333333333</v>
      </c>
      <c r="F71" s="24">
        <f>+E71+'VEHICULOS '!F8+ADMINISTRATIVOS!E9</f>
        <v>8150000</v>
      </c>
      <c r="G71" s="24">
        <f>+F71+'VEHICULOS '!G8+ADMINISTRATIVOS!F9</f>
        <v>10866666.666666666</v>
      </c>
      <c r="H71" s="24">
        <f>+G71+'VEHICULOS '!H8+ADMINISTRATIVOS!G9</f>
        <v>13583333.333333332</v>
      </c>
      <c r="I71" s="24">
        <f>+H71+'VEHICULOS '!I8+ADMINISTRATIVOS!H9</f>
        <v>16299999.999999998</v>
      </c>
      <c r="J71" s="24">
        <f>+I71+'VEHICULOS '!J8+ADMINISTRATIVOS!I9</f>
        <v>21516666.666666668</v>
      </c>
      <c r="K71" s="24">
        <f>+J71+'VEHICULOS '!K8+ADMINISTRATIVOS!J9</f>
        <v>26733333.333333336</v>
      </c>
      <c r="L71" s="24">
        <f>+K71+'VEHICULOS '!L8+ADMINISTRATIVOS!K9</f>
        <v>31950000.000000004</v>
      </c>
      <c r="M71" s="24">
        <f>+L71+'VEHICULOS '!M8+ADMINISTRATIVOS!L9</f>
        <v>37166666.666666664</v>
      </c>
      <c r="N71" s="24">
        <f>+M71+'VEHICULOS '!N8+ADMINISTRATIVOS!M9</f>
        <v>42383333.333333328</v>
      </c>
      <c r="O71" s="24">
        <f>+N71+'VEHICULOS '!O8+ADMINISTRATIVOS!N9</f>
        <v>47599999.999999993</v>
      </c>
      <c r="P71" s="24">
        <f>+O71</f>
        <v>47599999.999999993</v>
      </c>
      <c r="Q71" s="24">
        <f>+'VEHICULOS '!Q8+ADMINISTRATIVOS!P9</f>
        <v>5216666.666666667</v>
      </c>
      <c r="R71" s="24">
        <f>+Q71+'VEHICULOS '!R8+ADMINISTRATIVOS!Q9</f>
        <v>10433333.333333334</v>
      </c>
      <c r="S71" s="24">
        <f>+R71+'VEHICULOS '!S8+ADMINISTRATIVOS!R9</f>
        <v>15650000</v>
      </c>
      <c r="T71" s="24">
        <f>+S71+'VEHICULOS '!T8+ADMINISTRATIVOS!S9</f>
        <v>20866666.666666668</v>
      </c>
      <c r="U71" s="24">
        <f>+T71+'VEHICULOS '!U8+ADMINISTRATIVOS!T9</f>
        <v>26083333.333333336</v>
      </c>
      <c r="V71" s="24">
        <f>+U71+'VEHICULOS '!V8+ADMINISTRATIVOS!U9</f>
        <v>31300000.000000004</v>
      </c>
      <c r="W71" s="24">
        <f>+V71+'VEHICULOS '!W8+ADMINISTRATIVOS!V9</f>
        <v>39016666.666666664</v>
      </c>
      <c r="X71" s="24">
        <f>+W71+'VEHICULOS '!X8+ADMINISTRATIVOS!W9</f>
        <v>46733333.333333328</v>
      </c>
      <c r="Y71" s="24">
        <f>+X71+'VEHICULOS '!Y8+ADMINISTRATIVOS!X9</f>
        <v>54449999.999999993</v>
      </c>
      <c r="Z71" s="24">
        <f>+Y71+'VEHICULOS '!Z8+ADMINISTRATIVOS!Y9</f>
        <v>62166666.666666657</v>
      </c>
      <c r="AA71" s="24">
        <f>+Z71+'VEHICULOS '!AA8+ADMINISTRATIVOS!Z9</f>
        <v>69883333.333333328</v>
      </c>
      <c r="AB71" s="24">
        <f>+AA71+'VEHICULOS '!AB8+ADMINISTRATIVOS!AA9</f>
        <v>77600000</v>
      </c>
      <c r="AC71" s="24">
        <f>+AB71</f>
        <v>77600000</v>
      </c>
      <c r="AD71" s="24">
        <f>+'VEHICULOS '!AD8+ADMINISTRATIVOS!AC9</f>
        <v>7716666.666666667</v>
      </c>
      <c r="AE71" s="24">
        <f>+AD71+'VEHICULOS '!AE8+ADMINISTRATIVOS!AD9</f>
        <v>15433333.333333334</v>
      </c>
      <c r="AF71" s="24">
        <f>+AE71+'VEHICULOS '!AF8+ADMINISTRATIVOS!AE9</f>
        <v>23150000.000000004</v>
      </c>
      <c r="AG71" s="24">
        <f>+AF71+'VEHICULOS '!AG8+ADMINISTRATIVOS!AF9</f>
        <v>30866666.666666672</v>
      </c>
      <c r="AH71" s="24">
        <f>+AG71+'VEHICULOS '!AH8+ADMINISTRATIVOS!AG9</f>
        <v>38583333.333333336</v>
      </c>
      <c r="AI71" s="24">
        <f>+AH71+'VEHICULOS '!AI8+ADMINISTRATIVOS!AH9</f>
        <v>46300000</v>
      </c>
      <c r="AJ71" s="24">
        <f>+AI71+'VEHICULOS '!AJ8+ADMINISTRATIVOS!AI9</f>
        <v>54016666.666666664</v>
      </c>
      <c r="AK71" s="24">
        <f>+AJ71+'VEHICULOS '!AK8+ADMINISTRATIVOS!AJ9</f>
        <v>61733333.333333328</v>
      </c>
      <c r="AL71" s="24">
        <f>+AK71+'VEHICULOS '!AL8+ADMINISTRATIVOS!AK9</f>
        <v>69450000</v>
      </c>
      <c r="AM71" s="24">
        <f>+AL71+'VEHICULOS '!AM8+ADMINISTRATIVOS!AL9</f>
        <v>77166666.666666672</v>
      </c>
      <c r="AN71" s="24">
        <f>+AM71+'VEHICULOS '!AN8+ADMINISTRATIVOS!AM9</f>
        <v>84883333.333333343</v>
      </c>
      <c r="AO71" s="24">
        <f>+AN71+'VEHICULOS '!AO8+ADMINISTRATIVOS!AN9</f>
        <v>92600000.000000015</v>
      </c>
      <c r="AP71" s="24">
        <f>+AO71</f>
        <v>92600000.000000015</v>
      </c>
      <c r="AQ71" s="24">
        <f>+'VEHICULOS '!AQ8+ADMINISTRATIVOS!AP9</f>
        <v>7633333.333333333</v>
      </c>
      <c r="AR71" s="24">
        <f>+AQ71+'VEHICULOS '!AR8+ADMINISTRATIVOS!AQ9</f>
        <v>15266666.666666666</v>
      </c>
      <c r="AS71" s="24">
        <f>+AR71+'VEHICULOS '!AS8+ADMINISTRATIVOS!AR9</f>
        <v>22899999.999999996</v>
      </c>
      <c r="AT71" s="24">
        <f>+AS71+'VEHICULOS '!AT8+ADMINISTRATIVOS!AS9</f>
        <v>30533333.333333328</v>
      </c>
      <c r="AU71" s="24">
        <f>+AT71+'VEHICULOS '!AU8+ADMINISTRATIVOS!AT9</f>
        <v>38166666.666666664</v>
      </c>
      <c r="AV71" s="24">
        <f>+AU71+'VEHICULOS '!AV8+ADMINISTRATIVOS!AU9</f>
        <v>45800000</v>
      </c>
      <c r="AW71" s="24">
        <f>+AV71+'VEHICULOS '!AW8+ADMINISTRATIVOS!AV9</f>
        <v>53433333.333333336</v>
      </c>
      <c r="AX71" s="24">
        <f>+AW71+'VEHICULOS '!AX8+ADMINISTRATIVOS!AW9</f>
        <v>61066666.666666672</v>
      </c>
      <c r="AY71" s="24">
        <f>+AX71+'VEHICULOS '!AY8+ADMINISTRATIVOS!AX9</f>
        <v>68700000</v>
      </c>
      <c r="AZ71" s="24">
        <f>+AY71+'VEHICULOS '!AZ8+ADMINISTRATIVOS!AY9</f>
        <v>76333333.333333328</v>
      </c>
      <c r="BA71" s="24">
        <f>+AZ71+'VEHICULOS '!BA8+ADMINISTRATIVOS!AZ9</f>
        <v>83966666.666666657</v>
      </c>
      <c r="BB71" s="24">
        <f>+BA71+'VEHICULOS '!BB8+ADMINISTRATIVOS!BA9</f>
        <v>91599999.999999985</v>
      </c>
      <c r="BC71" s="24">
        <f>+BB71</f>
        <v>91599999.999999985</v>
      </c>
      <c r="BD71" s="24">
        <f>+'VEHICULOS '!BD8+ADMINISTRATIVOS!BC9</f>
        <v>7633333.333333333</v>
      </c>
      <c r="BE71" s="24">
        <f>+BD71+'VEHICULOS '!BE8+ADMINISTRATIVOS!BD9</f>
        <v>15266666.666666666</v>
      </c>
      <c r="BF71" s="24">
        <f>+BE71+'VEHICULOS '!BF8+ADMINISTRATIVOS!BE9</f>
        <v>22899999.999999996</v>
      </c>
      <c r="BG71" s="24">
        <f>+BF71+'VEHICULOS '!BG8+ADMINISTRATIVOS!BF9</f>
        <v>30533333.333333328</v>
      </c>
      <c r="BH71" s="24">
        <f>+BG71+'VEHICULOS '!BH8+ADMINISTRATIVOS!BG9</f>
        <v>38166666.666666664</v>
      </c>
      <c r="BI71" s="24">
        <f>+BH71+'VEHICULOS '!BI8+ADMINISTRATIVOS!BH9</f>
        <v>45800000</v>
      </c>
      <c r="BJ71" s="24">
        <f>+BI71+'VEHICULOS '!BJ8+ADMINISTRATIVOS!BI9</f>
        <v>53433333.333333336</v>
      </c>
      <c r="BK71" s="24">
        <f>+BJ71+'VEHICULOS '!BK8+ADMINISTRATIVOS!BJ9</f>
        <v>61066666.666666672</v>
      </c>
      <c r="BL71" s="24">
        <f>+BK71+'VEHICULOS '!BL8+ADMINISTRATIVOS!BK9</f>
        <v>68700000</v>
      </c>
      <c r="BM71" s="24">
        <f>+BL71+'VEHICULOS '!BM8+ADMINISTRATIVOS!BL9</f>
        <v>76333333.333333328</v>
      </c>
      <c r="BN71" s="24">
        <f>+BM71+'VEHICULOS '!BN8+ADMINISTRATIVOS!BM9</f>
        <v>83966666.666666657</v>
      </c>
      <c r="BO71" s="24">
        <f>+BN71+'VEHICULOS '!BO8+ADMINISTRATIVOS!BN9</f>
        <v>91599999.999999985</v>
      </c>
      <c r="BP71" s="24">
        <f>+BO71</f>
        <v>91599999.999999985</v>
      </c>
    </row>
    <row r="72" spans="2:68" x14ac:dyDescent="0.2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</row>
    <row r="73" spans="2:68" x14ac:dyDescent="0.25">
      <c r="C73" t="s">
        <v>234</v>
      </c>
      <c r="D73" s="24">
        <f>+'INGRESOS '!G20</f>
        <v>121882</v>
      </c>
      <c r="E73" s="24">
        <f>+D73+'INGRESOS '!H20</f>
        <v>243764</v>
      </c>
      <c r="F73" s="24">
        <f>+E73+'INGRESOS '!I20</f>
        <v>365646</v>
      </c>
      <c r="G73" s="24">
        <f>+F73+'INGRESOS '!J20</f>
        <v>487528</v>
      </c>
      <c r="H73" s="24">
        <f>+G73+'INGRESOS '!K20</f>
        <v>609410</v>
      </c>
      <c r="I73" s="24">
        <f>+H73+'INGRESOS '!L20</f>
        <v>731292</v>
      </c>
      <c r="J73" s="24">
        <f>+I73+'INGRESOS '!M20</f>
        <v>975055</v>
      </c>
      <c r="K73" s="24">
        <f>+J73+'INGRESOS '!N20</f>
        <v>1218818</v>
      </c>
      <c r="L73" s="24">
        <f>+K73+'INGRESOS '!O20</f>
        <v>1462581</v>
      </c>
      <c r="M73" s="24">
        <f>+L73+'INGRESOS '!P20</f>
        <v>1706344</v>
      </c>
      <c r="N73" s="24">
        <f>+M73+'INGRESOS '!Q20</f>
        <v>1950107</v>
      </c>
      <c r="O73" s="24">
        <f>+N73+'INGRESOS '!R20</f>
        <v>2193870</v>
      </c>
      <c r="P73" s="24">
        <f>+O73</f>
        <v>2193870</v>
      </c>
      <c r="Q73" s="24">
        <f>+'INGRESOS '!T20</f>
        <v>253514</v>
      </c>
      <c r="R73" s="24">
        <f>+Q73+'INGRESOS '!U20</f>
        <v>507028</v>
      </c>
      <c r="S73" s="24">
        <f>+R73+'INGRESOS '!V20</f>
        <v>760542</v>
      </c>
      <c r="T73" s="24">
        <f>+S73+'INGRESOS '!W20</f>
        <v>1014056</v>
      </c>
      <c r="U73" s="24">
        <f>+T73+'INGRESOS '!X20</f>
        <v>1267570</v>
      </c>
      <c r="V73" s="24">
        <f>+U73+'INGRESOS '!Y20</f>
        <v>1521084</v>
      </c>
      <c r="W73" s="24">
        <f>+V73+'INGRESOS '!Z20</f>
        <v>1901355</v>
      </c>
      <c r="X73" s="24">
        <f>+W73+'INGRESOS '!AA20</f>
        <v>2281626</v>
      </c>
      <c r="Y73" s="24">
        <f>+X73+'INGRESOS '!AB20</f>
        <v>2661897</v>
      </c>
      <c r="Z73" s="24">
        <f>+Y73+'INGRESOS '!AC20</f>
        <v>3042168</v>
      </c>
      <c r="AA73" s="24">
        <f>+Z73+'INGRESOS '!AD20</f>
        <v>3422439</v>
      </c>
      <c r="AB73" s="24">
        <f>+AA73+'INGRESOS '!AE20</f>
        <v>3802710</v>
      </c>
      <c r="AC73" s="24">
        <f>+AB73</f>
        <v>3802710</v>
      </c>
      <c r="AD73" s="24">
        <f>+'INGRESOS '!AG20</f>
        <v>395482</v>
      </c>
      <c r="AE73" s="24">
        <f>+AD73+'INGRESOS '!AH20</f>
        <v>790964</v>
      </c>
      <c r="AF73" s="24">
        <f>+AE73+'INGRESOS '!AI20</f>
        <v>1186446</v>
      </c>
      <c r="AG73" s="24">
        <f>+AF73+'INGRESOS '!AJ20</f>
        <v>1581928</v>
      </c>
      <c r="AH73" s="24">
        <f>+AG73+'INGRESOS '!AK20</f>
        <v>1977410</v>
      </c>
      <c r="AI73" s="24">
        <f>+AH73+'INGRESOS '!AL20</f>
        <v>2372892</v>
      </c>
      <c r="AJ73" s="24">
        <f>+AI73+'INGRESOS '!AM20</f>
        <v>2768374</v>
      </c>
      <c r="AK73" s="24">
        <f>+AJ73+'INGRESOS '!AN20</f>
        <v>3163856</v>
      </c>
      <c r="AL73" s="24">
        <f>+AK73+'INGRESOS '!AO20</f>
        <v>3559338</v>
      </c>
      <c r="AM73" s="24">
        <f>+AL73+'INGRESOS '!AP20</f>
        <v>3954820</v>
      </c>
      <c r="AN73" s="24">
        <f>+AM73+'INGRESOS '!AQ20</f>
        <v>4350302</v>
      </c>
      <c r="AO73" s="24">
        <f>+AN73+'INGRESOS '!AR20</f>
        <v>4745784</v>
      </c>
      <c r="AP73" s="24">
        <f>+AO73</f>
        <v>4745784</v>
      </c>
      <c r="AQ73" s="24">
        <f>+'INGRESOS '!AT20</f>
        <v>411300</v>
      </c>
      <c r="AR73" s="24">
        <f>+AQ73+'INGRESOS '!AU20</f>
        <v>822600</v>
      </c>
      <c r="AS73" s="24">
        <f>+AR73+'INGRESOS '!AV20</f>
        <v>1233900</v>
      </c>
      <c r="AT73" s="24">
        <f>+AS73+'INGRESOS '!AW20</f>
        <v>1645200</v>
      </c>
      <c r="AU73" s="24">
        <f>+AT73+'INGRESOS '!AX20</f>
        <v>2056500</v>
      </c>
      <c r="AV73" s="24">
        <f>+AU73+'INGRESOS '!AY20</f>
        <v>2467800</v>
      </c>
      <c r="AW73" s="24">
        <f>+AV73+'INGRESOS '!AZ20</f>
        <v>2879100</v>
      </c>
      <c r="AX73" s="24">
        <f>+AW73+'INGRESOS '!BA20</f>
        <v>3290400</v>
      </c>
      <c r="AY73" s="24">
        <f>+AX73+'INGRESOS '!BB20</f>
        <v>3701700</v>
      </c>
      <c r="AZ73" s="24">
        <f>+AY73+'INGRESOS '!BC20</f>
        <v>4113000</v>
      </c>
      <c r="BA73" s="24">
        <f>+AZ73+'INGRESOS '!BD20</f>
        <v>4524300</v>
      </c>
      <c r="BB73" s="24">
        <f>+BA73+'INGRESOS '!BE20</f>
        <v>4935600</v>
      </c>
      <c r="BC73" s="24">
        <f>+BB73</f>
        <v>4935600</v>
      </c>
      <c r="BD73" s="24">
        <f>+'INGRESOS '!BG20</f>
        <v>427754</v>
      </c>
      <c r="BE73" s="24">
        <f>+BD73+'INGRESOS '!BH20</f>
        <v>855508</v>
      </c>
      <c r="BF73" s="24">
        <f>+BE73+'INGRESOS '!BI20</f>
        <v>1283262</v>
      </c>
      <c r="BG73" s="24">
        <f>+BF73+'INGRESOS '!BJ20</f>
        <v>1711016</v>
      </c>
      <c r="BH73" s="24">
        <f>+BG73+'INGRESOS '!BK20</f>
        <v>2138770</v>
      </c>
      <c r="BI73" s="24">
        <f>+BH73+'INGRESOS '!BL20</f>
        <v>2566524</v>
      </c>
      <c r="BJ73" s="24">
        <f>+BI73+'INGRESOS '!BM20</f>
        <v>2994278</v>
      </c>
      <c r="BK73" s="24">
        <f>+BJ73+'INGRESOS '!BN20</f>
        <v>3422032</v>
      </c>
      <c r="BL73" s="24">
        <f>+BK73+'INGRESOS '!BO20</f>
        <v>3849786</v>
      </c>
      <c r="BM73" s="24">
        <f>+BL73+'INGRESOS '!BP20</f>
        <v>4277540</v>
      </c>
      <c r="BN73" s="24">
        <f>+BM73+'INGRESOS '!BQ20</f>
        <v>4705294</v>
      </c>
      <c r="BO73" s="24">
        <f>+BN73+'INGRESOS '!BR20</f>
        <v>5133048</v>
      </c>
      <c r="BP73" s="24">
        <f>+BO73</f>
        <v>5133048</v>
      </c>
    </row>
    <row r="74" spans="2:68" x14ac:dyDescent="0.2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</row>
    <row r="75" spans="2:68" x14ac:dyDescent="0.25">
      <c r="C75" s="26" t="s">
        <v>141</v>
      </c>
      <c r="D75" s="50">
        <f>SUM(D66:D74)</f>
        <v>28710516.666666668</v>
      </c>
      <c r="E75" s="50">
        <f t="shared" ref="E75:O75" si="74">SUM(E66:E74)</f>
        <v>54688891.333333336</v>
      </c>
      <c r="F75" s="50">
        <f t="shared" si="74"/>
        <v>79685123</v>
      </c>
      <c r="G75" s="50">
        <f t="shared" si="74"/>
        <v>107199211.66666667</v>
      </c>
      <c r="H75" s="50">
        <f t="shared" si="74"/>
        <v>132231157.33333333</v>
      </c>
      <c r="I75" s="50">
        <f t="shared" si="74"/>
        <v>158780960</v>
      </c>
      <c r="J75" s="50">
        <f t="shared" si="74"/>
        <v>196346622.66666666</v>
      </c>
      <c r="K75" s="50">
        <f t="shared" si="74"/>
        <v>235547999.33333334</v>
      </c>
      <c r="L75" s="50">
        <f t="shared" si="74"/>
        <v>272285090</v>
      </c>
      <c r="M75" s="50">
        <f t="shared" si="74"/>
        <v>314957894.66666669</v>
      </c>
      <c r="N75" s="50">
        <f t="shared" si="74"/>
        <v>351766414.33333331</v>
      </c>
      <c r="O75" s="50">
        <f t="shared" si="74"/>
        <v>393610648</v>
      </c>
      <c r="P75" s="50">
        <f>+O75</f>
        <v>393610648</v>
      </c>
      <c r="Q75" s="50">
        <f t="shared" ref="Q75:AA75" si="75">SUM(Q66:Q74)</f>
        <v>41620743.666666664</v>
      </c>
      <c r="R75" s="50">
        <f t="shared" si="75"/>
        <v>85461202.333333328</v>
      </c>
      <c r="S75" s="50">
        <f t="shared" si="75"/>
        <v>126217375</v>
      </c>
      <c r="T75" s="50">
        <f t="shared" si="75"/>
        <v>172065261.66666666</v>
      </c>
      <c r="U75" s="50">
        <f t="shared" si="75"/>
        <v>212892862.33333334</v>
      </c>
      <c r="V75" s="50">
        <f t="shared" si="75"/>
        <v>258876178</v>
      </c>
      <c r="W75" s="50">
        <f t="shared" si="75"/>
        <v>313881351.66666669</v>
      </c>
      <c r="X75" s="50">
        <f t="shared" si="75"/>
        <v>371748096.33333331</v>
      </c>
      <c r="Y75" s="50">
        <f t="shared" si="75"/>
        <v>425508413</v>
      </c>
      <c r="Z75" s="50">
        <f t="shared" si="75"/>
        <v>485874300.66666663</v>
      </c>
      <c r="AA75" s="50">
        <f t="shared" si="75"/>
        <v>539741760.33333325</v>
      </c>
      <c r="AB75" s="50">
        <f t="shared" ref="AB75:AO75" si="76">SUM(AB66:AB74)</f>
        <v>600342791</v>
      </c>
      <c r="AC75" s="50">
        <f>+AB75</f>
        <v>600342791</v>
      </c>
      <c r="AD75" s="50">
        <f t="shared" si="76"/>
        <v>59767804.866666667</v>
      </c>
      <c r="AE75" s="50">
        <f t="shared" si="76"/>
        <v>123050300.73333333</v>
      </c>
      <c r="AF75" s="50">
        <f t="shared" si="76"/>
        <v>181519167.59999999</v>
      </c>
      <c r="AG75" s="50">
        <f t="shared" si="76"/>
        <v>247514886.4666667</v>
      </c>
      <c r="AH75" s="50">
        <f t="shared" si="76"/>
        <v>306090896.33333331</v>
      </c>
      <c r="AI75" s="50">
        <f t="shared" si="76"/>
        <v>373587678.19999999</v>
      </c>
      <c r="AJ75" s="50">
        <f t="shared" si="76"/>
        <v>433676911.06666666</v>
      </c>
      <c r="AK75" s="50">
        <f t="shared" si="76"/>
        <v>497280835.93333334</v>
      </c>
      <c r="AL75" s="50">
        <f t="shared" si="76"/>
        <v>556071131.79999995</v>
      </c>
      <c r="AM75" s="50">
        <f t="shared" si="76"/>
        <v>621188278.66666663</v>
      </c>
      <c r="AN75" s="50">
        <f t="shared" si="76"/>
        <v>680085717.5333333</v>
      </c>
      <c r="AO75" s="50">
        <f t="shared" si="76"/>
        <v>745903927.39999998</v>
      </c>
      <c r="AP75" s="50">
        <f>+AO75</f>
        <v>745903927.39999998</v>
      </c>
      <c r="AQ75" s="50">
        <f t="shared" ref="AQ75:BB75" si="77">SUM(AQ66:AQ74)</f>
        <v>61503953.533333339</v>
      </c>
      <c r="AR75" s="50">
        <f t="shared" si="77"/>
        <v>126466360.06666668</v>
      </c>
      <c r="AS75" s="50">
        <f t="shared" si="77"/>
        <v>186615138.59999999</v>
      </c>
      <c r="AT75" s="50">
        <f t="shared" si="77"/>
        <v>254347006.13333333</v>
      </c>
      <c r="AU75" s="50">
        <f t="shared" si="77"/>
        <v>314602926.66666669</v>
      </c>
      <c r="AV75" s="50">
        <f t="shared" si="77"/>
        <v>383779619.19999999</v>
      </c>
      <c r="AW75" s="50">
        <f t="shared" si="77"/>
        <v>445605000.73333329</v>
      </c>
      <c r="AX75" s="50">
        <f t="shared" si="77"/>
        <v>510888836.26666671</v>
      </c>
      <c r="AY75" s="50">
        <f t="shared" si="77"/>
        <v>571359042.79999995</v>
      </c>
      <c r="AZ75" s="50">
        <f t="shared" si="77"/>
        <v>638212339.33333337</v>
      </c>
      <c r="BA75" s="50">
        <f t="shared" si="77"/>
        <v>698789688.86666656</v>
      </c>
      <c r="BB75" s="50">
        <f t="shared" si="77"/>
        <v>766287809.39999998</v>
      </c>
      <c r="BC75" s="50">
        <f>+BB75</f>
        <v>766287809.39999998</v>
      </c>
      <c r="BD75" s="50">
        <f t="shared" ref="BD75:BO75" si="78">SUM(BD66:BD74)</f>
        <v>63340134.533333339</v>
      </c>
      <c r="BE75" s="50">
        <f t="shared" si="78"/>
        <v>130080235.06666668</v>
      </c>
      <c r="BF75" s="50">
        <f t="shared" si="78"/>
        <v>192006707.59999999</v>
      </c>
      <c r="BG75" s="50">
        <f t="shared" si="78"/>
        <v>261574756.13333333</v>
      </c>
      <c r="BH75" s="50">
        <f t="shared" si="78"/>
        <v>323608371.66666669</v>
      </c>
      <c r="BI75" s="50">
        <f t="shared" si="78"/>
        <v>394562758.19999999</v>
      </c>
      <c r="BJ75" s="50">
        <f t="shared" si="78"/>
        <v>458224320.73333329</v>
      </c>
      <c r="BK75" s="50">
        <f t="shared" si="78"/>
        <v>525285850.26666671</v>
      </c>
      <c r="BL75" s="50">
        <f t="shared" si="78"/>
        <v>587533750.79999995</v>
      </c>
      <c r="BM75" s="50">
        <f t="shared" si="78"/>
        <v>656223228.33333337</v>
      </c>
      <c r="BN75" s="50">
        <f t="shared" si="78"/>
        <v>718578271.86666656</v>
      </c>
      <c r="BO75" s="50">
        <f t="shared" si="78"/>
        <v>787854087.39999998</v>
      </c>
      <c r="BP75" s="50">
        <f>+BO75</f>
        <v>787854087.39999998</v>
      </c>
    </row>
    <row r="76" spans="2:68" x14ac:dyDescent="0.2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</row>
    <row r="77" spans="2:68" x14ac:dyDescent="0.25">
      <c r="B77" s="44" t="s">
        <v>215</v>
      </c>
      <c r="C77" s="26"/>
      <c r="D77" s="50">
        <f>+D63-D75</f>
        <v>-3110516.6666666679</v>
      </c>
      <c r="E77" s="50">
        <f t="shared" ref="E77:AD77" si="79">+E63-E75</f>
        <v>-3488891.3333333358</v>
      </c>
      <c r="F77" s="50">
        <f t="shared" si="79"/>
        <v>-2885123</v>
      </c>
      <c r="G77" s="50">
        <f t="shared" si="79"/>
        <v>-4799211.6666666716</v>
      </c>
      <c r="H77" s="50">
        <f t="shared" si="79"/>
        <v>-4231157.3333333284</v>
      </c>
      <c r="I77" s="50">
        <f t="shared" si="79"/>
        <v>-5180960</v>
      </c>
      <c r="J77" s="50">
        <f t="shared" si="79"/>
        <v>8453377.3333333433</v>
      </c>
      <c r="K77" s="50">
        <f t="shared" si="79"/>
        <v>20452000.666666657</v>
      </c>
      <c r="L77" s="50">
        <f t="shared" si="79"/>
        <v>34914910</v>
      </c>
      <c r="M77" s="50">
        <f t="shared" si="79"/>
        <v>43442105.333333313</v>
      </c>
      <c r="N77" s="50">
        <f t="shared" si="79"/>
        <v>57833585.666666687</v>
      </c>
      <c r="O77" s="50">
        <f t="shared" si="79"/>
        <v>67189352</v>
      </c>
      <c r="P77" s="50">
        <f>+O77</f>
        <v>67189352</v>
      </c>
      <c r="Q77" s="50">
        <f t="shared" si="79"/>
        <v>11627256.333333336</v>
      </c>
      <c r="R77" s="50">
        <f t="shared" si="79"/>
        <v>21034797.666666672</v>
      </c>
      <c r="S77" s="50">
        <f t="shared" si="79"/>
        <v>33526625</v>
      </c>
      <c r="T77" s="50">
        <f t="shared" si="79"/>
        <v>40926738.333333343</v>
      </c>
      <c r="U77" s="50">
        <f t="shared" si="79"/>
        <v>53347137.666666657</v>
      </c>
      <c r="V77" s="50">
        <f t="shared" si="79"/>
        <v>60611822</v>
      </c>
      <c r="W77" s="50">
        <f t="shared" si="79"/>
        <v>85478648.333333313</v>
      </c>
      <c r="X77" s="50">
        <f t="shared" si="79"/>
        <v>107483903.66666669</v>
      </c>
      <c r="Y77" s="50">
        <f t="shared" si="79"/>
        <v>133595587</v>
      </c>
      <c r="Z77" s="50">
        <f t="shared" si="79"/>
        <v>153101699.33333337</v>
      </c>
      <c r="AA77" s="50">
        <f t="shared" si="79"/>
        <v>179106239.66666675</v>
      </c>
      <c r="AB77" s="50">
        <f t="shared" si="79"/>
        <v>198377209</v>
      </c>
      <c r="AC77" s="50">
        <f>+AB77</f>
        <v>198377209</v>
      </c>
      <c r="AD77" s="50">
        <f t="shared" si="79"/>
        <v>23299075.133333333</v>
      </c>
      <c r="AE77" s="50">
        <f t="shared" ref="AE77:AO77" si="80">+AE63-AE75</f>
        <v>43083459.266666666</v>
      </c>
      <c r="AF77" s="50">
        <f t="shared" si="80"/>
        <v>67681472.400000006</v>
      </c>
      <c r="AG77" s="50">
        <f t="shared" si="80"/>
        <v>84752633.533333302</v>
      </c>
      <c r="AH77" s="50">
        <f t="shared" si="80"/>
        <v>109243503.66666669</v>
      </c>
      <c r="AI77" s="50">
        <f t="shared" si="80"/>
        <v>124813601.80000001</v>
      </c>
      <c r="AJ77" s="50">
        <f t="shared" si="80"/>
        <v>147791248.93333334</v>
      </c>
      <c r="AK77" s="50">
        <f t="shared" si="80"/>
        <v>167254204.06666666</v>
      </c>
      <c r="AL77" s="50">
        <f t="shared" si="80"/>
        <v>191530788.20000005</v>
      </c>
      <c r="AM77" s="50">
        <f t="shared" si="80"/>
        <v>209480521.33333337</v>
      </c>
      <c r="AN77" s="50">
        <f t="shared" si="80"/>
        <v>233649962.4666667</v>
      </c>
      <c r="AO77" s="50">
        <f t="shared" si="80"/>
        <v>250898632.60000002</v>
      </c>
      <c r="AP77" s="50">
        <f>+AO77</f>
        <v>250898632.60000002</v>
      </c>
      <c r="AQ77" s="50">
        <f t="shared" ref="AQ77:BB77" si="81">+AQ63-AQ75</f>
        <v>24885486.466666661</v>
      </c>
      <c r="AR77" s="50">
        <f t="shared" si="81"/>
        <v>46312519.933333322</v>
      </c>
      <c r="AS77" s="50">
        <f t="shared" si="81"/>
        <v>72553181.400000006</v>
      </c>
      <c r="AT77" s="50">
        <f t="shared" si="81"/>
        <v>91210753.866666675</v>
      </c>
      <c r="AU77" s="50">
        <f t="shared" si="81"/>
        <v>117344273.33333331</v>
      </c>
      <c r="AV77" s="50">
        <f t="shared" si="81"/>
        <v>134557020.80000001</v>
      </c>
      <c r="AW77" s="50">
        <f t="shared" si="81"/>
        <v>159121079.26666671</v>
      </c>
      <c r="AX77" s="50">
        <f t="shared" si="81"/>
        <v>180226683.73333329</v>
      </c>
      <c r="AY77" s="50">
        <f t="shared" si="81"/>
        <v>206145917.20000005</v>
      </c>
      <c r="AZ77" s="50">
        <f t="shared" si="81"/>
        <v>225682060.66666663</v>
      </c>
      <c r="BA77" s="50">
        <f t="shared" si="81"/>
        <v>251494151.13333344</v>
      </c>
      <c r="BB77" s="50">
        <f t="shared" si="81"/>
        <v>270385470.60000002</v>
      </c>
      <c r="BC77" s="50">
        <f>+BB77</f>
        <v>270385470.60000002</v>
      </c>
      <c r="BD77" s="50">
        <f t="shared" ref="BD77:BO77" si="82">+BD63-BD75</f>
        <v>26505305.466666661</v>
      </c>
      <c r="BE77" s="50">
        <f t="shared" si="82"/>
        <v>49610644.933333322</v>
      </c>
      <c r="BF77" s="50">
        <f t="shared" si="82"/>
        <v>77529612.400000006</v>
      </c>
      <c r="BG77" s="50">
        <f t="shared" si="82"/>
        <v>97807003.866666675</v>
      </c>
      <c r="BH77" s="50">
        <f t="shared" si="82"/>
        <v>125618828.33333331</v>
      </c>
      <c r="BI77" s="50">
        <f t="shared" si="82"/>
        <v>144509881.80000001</v>
      </c>
      <c r="BJ77" s="50">
        <f t="shared" si="82"/>
        <v>170693759.26666671</v>
      </c>
      <c r="BK77" s="50">
        <f t="shared" si="82"/>
        <v>193477669.73333329</v>
      </c>
      <c r="BL77" s="50">
        <f t="shared" si="82"/>
        <v>221075209.20000005</v>
      </c>
      <c r="BM77" s="50">
        <f t="shared" si="82"/>
        <v>242231171.66666663</v>
      </c>
      <c r="BN77" s="50">
        <f t="shared" si="82"/>
        <v>269721568.13333344</v>
      </c>
      <c r="BO77" s="50">
        <f t="shared" si="82"/>
        <v>290291192.60000002</v>
      </c>
      <c r="BP77" s="50">
        <f>+BO77</f>
        <v>290291192.60000002</v>
      </c>
    </row>
    <row r="78" spans="2:68" x14ac:dyDescent="0.2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</row>
    <row r="79" spans="2:68" x14ac:dyDescent="0.25">
      <c r="C79" t="s">
        <v>140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f>+O79</f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f>SUM(Q79:AB79)</f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f>+AO79</f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0</v>
      </c>
      <c r="BC79" s="24">
        <f>+BB79</f>
        <v>0</v>
      </c>
      <c r="BD79" s="24">
        <v>0</v>
      </c>
      <c r="BE79" s="24">
        <v>0</v>
      </c>
      <c r="BF79" s="24">
        <v>0</v>
      </c>
      <c r="BG79" s="24">
        <v>0</v>
      </c>
      <c r="BH79" s="24">
        <v>0</v>
      </c>
      <c r="BI79" s="24">
        <v>0</v>
      </c>
      <c r="BJ79" s="24">
        <v>0</v>
      </c>
      <c r="BK79" s="24">
        <v>0</v>
      </c>
      <c r="BL79" s="24">
        <v>0</v>
      </c>
      <c r="BM79" s="24">
        <v>0</v>
      </c>
      <c r="BN79" s="24">
        <v>0</v>
      </c>
      <c r="BO79" s="24">
        <v>0</v>
      </c>
      <c r="BP79" s="24">
        <f>+BO79</f>
        <v>0</v>
      </c>
    </row>
    <row r="80" spans="2:68" x14ac:dyDescent="0.25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</row>
    <row r="81" spans="2:68" x14ac:dyDescent="0.25">
      <c r="C81" t="s">
        <v>139</v>
      </c>
      <c r="D81" s="24">
        <v>0</v>
      </c>
      <c r="E81" s="24">
        <f>+FINANCIACION!W15+D81</f>
        <v>1620000</v>
      </c>
      <c r="F81" s="24">
        <f>+FINANCIACION!W16+E81</f>
        <v>3203757</v>
      </c>
      <c r="G81" s="24">
        <f>+FINANCIACION!W17+F81</f>
        <v>4750836</v>
      </c>
      <c r="H81" s="24">
        <f>+FINANCIACION!W18+G81</f>
        <v>6260797</v>
      </c>
      <c r="I81" s="24">
        <f>+FINANCIACION!W19+H81</f>
        <v>7733195</v>
      </c>
      <c r="J81" s="24">
        <f>+FINANCIACION!W20+I81</f>
        <v>9167578</v>
      </c>
      <c r="K81" s="24">
        <f>+FINANCIACION!W21+J81</f>
        <v>12183491</v>
      </c>
      <c r="L81" s="24">
        <f>+FINANCIACION!W22+K81</f>
        <v>15101825</v>
      </c>
      <c r="M81" s="24">
        <f>+FINANCIACION!W23+L81</f>
        <v>17921409</v>
      </c>
      <c r="N81" s="24">
        <f>+FINANCIACION!W24+M81</f>
        <v>20641057</v>
      </c>
      <c r="O81" s="24">
        <f>+FINANCIACION!W25+N81</f>
        <v>23259570</v>
      </c>
      <c r="P81" s="36">
        <f>+O81</f>
        <v>23259570</v>
      </c>
      <c r="Q81" s="24">
        <f>+FINANCIACION!W26</f>
        <v>2516165</v>
      </c>
      <c r="R81" s="24">
        <f>+FINANCIACION!W27+Q81</f>
        <v>4928754</v>
      </c>
      <c r="S81" s="24">
        <f>+FINANCIACION!W28+R81</f>
        <v>7236523</v>
      </c>
      <c r="T81" s="24">
        <f>+FINANCIACION!W29+S81</f>
        <v>9438216</v>
      </c>
      <c r="U81" s="24">
        <f>+FINANCIACION!W30+T81</f>
        <v>11532558</v>
      </c>
      <c r="V81" s="24">
        <f>+FINANCIACION!W31+U81</f>
        <v>13518262</v>
      </c>
      <c r="W81" s="24">
        <f>+FINANCIACION!W32+V81</f>
        <v>15394023</v>
      </c>
      <c r="X81" s="24">
        <f>+FINANCIACION!W33+W81</f>
        <v>18598524</v>
      </c>
      <c r="Y81" s="24">
        <f>+FINANCIACION!W34+X81</f>
        <v>21578143</v>
      </c>
      <c r="Z81" s="24">
        <f>+FINANCIACION!W35+Y81</f>
        <v>24330183</v>
      </c>
      <c r="AA81" s="24">
        <f>+FINANCIACION!W36+Z81</f>
        <v>26851912</v>
      </c>
      <c r="AB81" s="24">
        <f>FINANCIACION!W37+AA81</f>
        <v>29140567</v>
      </c>
      <c r="AC81" s="36">
        <f>+AB81</f>
        <v>29140567</v>
      </c>
      <c r="AD81" s="24">
        <f>+FINANCIACION!W38</f>
        <v>2052784</v>
      </c>
      <c r="AE81" s="24">
        <f>+FINANCIACION!W39+AD81</f>
        <v>3866867</v>
      </c>
      <c r="AF81" s="24">
        <f>+FINANCIACION!W40+AE81</f>
        <v>5439383</v>
      </c>
      <c r="AG81" s="24">
        <f>+FINANCIACION!W41+AF81</f>
        <v>6767435</v>
      </c>
      <c r="AH81" s="24">
        <f>+FINANCIACION!W42+AG81</f>
        <v>7848088</v>
      </c>
      <c r="AI81" s="24">
        <f>+FINANCIACION!W43+AH81</f>
        <v>8678374</v>
      </c>
      <c r="AJ81" s="24">
        <f>+FINANCIACION!W44+AI81</f>
        <v>9255288</v>
      </c>
      <c r="AK81" s="24">
        <f>+FINANCIACION!W45+AJ81</f>
        <v>9575791</v>
      </c>
      <c r="AL81" s="24">
        <f>+FINANCIACION!W46+AK81</f>
        <v>9844457</v>
      </c>
      <c r="AM81" s="24">
        <f>+FINANCIACION!W47+AL81</f>
        <v>10060664</v>
      </c>
      <c r="AN81" s="24">
        <f>+FINANCIACION!W48+AM81</f>
        <v>10223782</v>
      </c>
      <c r="AO81" s="24">
        <f>+FINANCIACION!W49+AN81</f>
        <v>10333175</v>
      </c>
      <c r="AP81" s="24">
        <f>+AO81</f>
        <v>10333175</v>
      </c>
      <c r="AQ81" s="24">
        <f>+FINANCIACION!W50</f>
        <v>55023</v>
      </c>
      <c r="AR81" s="24">
        <f>+FINANCIACION!W51+AQ81</f>
        <v>55023</v>
      </c>
      <c r="AS81" s="24">
        <f>+FINANCIACION!W52+AR81</f>
        <v>55023</v>
      </c>
      <c r="AT81" s="24">
        <f>+FINANCIACION!W53+AS81</f>
        <v>55023</v>
      </c>
      <c r="AU81" s="24">
        <f>+FINANCIACION!W54+AT81</f>
        <v>55023</v>
      </c>
      <c r="AV81" s="24">
        <f>+FINANCIACION!W55+AU81</f>
        <v>55023</v>
      </c>
      <c r="AW81" s="24">
        <f>+FINANCIACION!W56+AV81</f>
        <v>55023</v>
      </c>
      <c r="AX81" s="24">
        <f>+FINANCIACION!W57+AW81</f>
        <v>55023</v>
      </c>
      <c r="AY81" s="24">
        <f>+FINANCIACION!W58+AX81</f>
        <v>55023</v>
      </c>
      <c r="AZ81" s="24">
        <f>+FINANCIACION!W59+AY81</f>
        <v>55023</v>
      </c>
      <c r="BA81" s="24">
        <f>+FINANCIACION!W60+AZ81</f>
        <v>55023</v>
      </c>
      <c r="BB81" s="24">
        <f>+FINANCIACION!W61+BA81</f>
        <v>55023</v>
      </c>
      <c r="BC81" s="24">
        <f>+BB81</f>
        <v>55023</v>
      </c>
      <c r="BD81" s="24">
        <f>+FINANCIACION!W62</f>
        <v>0</v>
      </c>
      <c r="BE81" s="24">
        <f>+FINANCIACION!W63+BD81</f>
        <v>0</v>
      </c>
      <c r="BF81" s="24">
        <f>+FINANCIACION!W64+BE81</f>
        <v>0</v>
      </c>
      <c r="BG81" s="24">
        <f>+FINANCIACION!W65+BF81</f>
        <v>0</v>
      </c>
      <c r="BH81" s="24">
        <f>+FINANCIACION!W66+BG81</f>
        <v>0</v>
      </c>
      <c r="BI81" s="24">
        <f>+FINANCIACION!W67+BH81</f>
        <v>0</v>
      </c>
      <c r="BJ81" s="24">
        <f>+FINANCIACION!W68+BI81</f>
        <v>0</v>
      </c>
      <c r="BK81" s="24">
        <f>+FINANCIACION!W69+BJ81</f>
        <v>0</v>
      </c>
      <c r="BL81" s="24">
        <f>+FINANCIACION!W70+BK81</f>
        <v>0</v>
      </c>
      <c r="BM81" s="24">
        <f>+FINANCIACION!W71+BL81</f>
        <v>0</v>
      </c>
      <c r="BN81" s="24">
        <f>+FINANCIACION!W72+BM81</f>
        <v>0</v>
      </c>
      <c r="BO81" s="24">
        <f>+FINANCIACION!W73+BN81</f>
        <v>0</v>
      </c>
      <c r="BP81" s="24">
        <f>+BO81</f>
        <v>0</v>
      </c>
    </row>
    <row r="82" spans="2:68" x14ac:dyDescent="0.25">
      <c r="P82" s="24"/>
      <c r="R82" s="36"/>
      <c r="AC82" s="24"/>
      <c r="AO82" s="24"/>
      <c r="AP82" s="24"/>
      <c r="AR82" s="24"/>
      <c r="BB82" s="24"/>
      <c r="BC82" s="24"/>
      <c r="BO82" s="24"/>
      <c r="BP82" s="24"/>
    </row>
    <row r="83" spans="2:68" x14ac:dyDescent="0.25">
      <c r="B83" s="44" t="s">
        <v>216</v>
      </c>
      <c r="C83" s="26"/>
      <c r="D83" s="50">
        <f>+D79-D81</f>
        <v>0</v>
      </c>
      <c r="E83" s="50">
        <f>+E79-E81</f>
        <v>-1620000</v>
      </c>
      <c r="F83" s="50">
        <f t="shared" ref="F83:AO83" si="83">+F79-F81</f>
        <v>-3203757</v>
      </c>
      <c r="G83" s="50">
        <f t="shared" si="83"/>
        <v>-4750836</v>
      </c>
      <c r="H83" s="50">
        <f t="shared" si="83"/>
        <v>-6260797</v>
      </c>
      <c r="I83" s="50">
        <f t="shared" si="83"/>
        <v>-7733195</v>
      </c>
      <c r="J83" s="50">
        <f t="shared" si="83"/>
        <v>-9167578</v>
      </c>
      <c r="K83" s="50">
        <f t="shared" si="83"/>
        <v>-12183491</v>
      </c>
      <c r="L83" s="50">
        <f t="shared" si="83"/>
        <v>-15101825</v>
      </c>
      <c r="M83" s="50">
        <f t="shared" si="83"/>
        <v>-17921409</v>
      </c>
      <c r="N83" s="50">
        <f t="shared" si="83"/>
        <v>-20641057</v>
      </c>
      <c r="O83" s="50">
        <f t="shared" si="83"/>
        <v>-23259570</v>
      </c>
      <c r="P83" s="50">
        <f>+O83</f>
        <v>-23259570</v>
      </c>
      <c r="Q83" s="50">
        <f t="shared" si="83"/>
        <v>-2516165</v>
      </c>
      <c r="R83" s="50">
        <f t="shared" si="83"/>
        <v>-4928754</v>
      </c>
      <c r="S83" s="50">
        <f t="shared" si="83"/>
        <v>-7236523</v>
      </c>
      <c r="T83" s="50">
        <f t="shared" si="83"/>
        <v>-9438216</v>
      </c>
      <c r="U83" s="50">
        <f t="shared" si="83"/>
        <v>-11532558</v>
      </c>
      <c r="V83" s="50">
        <f t="shared" si="83"/>
        <v>-13518262</v>
      </c>
      <c r="W83" s="50">
        <f t="shared" si="83"/>
        <v>-15394023</v>
      </c>
      <c r="X83" s="50">
        <f t="shared" si="83"/>
        <v>-18598524</v>
      </c>
      <c r="Y83" s="50">
        <f t="shared" si="83"/>
        <v>-21578143</v>
      </c>
      <c r="Z83" s="50">
        <f t="shared" si="83"/>
        <v>-24330183</v>
      </c>
      <c r="AA83" s="50">
        <f t="shared" si="83"/>
        <v>-26851912</v>
      </c>
      <c r="AB83" s="50">
        <f t="shared" si="83"/>
        <v>-29140567</v>
      </c>
      <c r="AC83" s="50">
        <f>+AB83</f>
        <v>-29140567</v>
      </c>
      <c r="AD83" s="50">
        <f t="shared" si="83"/>
        <v>-2052784</v>
      </c>
      <c r="AE83" s="50">
        <f t="shared" si="83"/>
        <v>-3866867</v>
      </c>
      <c r="AF83" s="50">
        <f t="shared" si="83"/>
        <v>-5439383</v>
      </c>
      <c r="AG83" s="50">
        <f t="shared" si="83"/>
        <v>-6767435</v>
      </c>
      <c r="AH83" s="50">
        <f t="shared" si="83"/>
        <v>-7848088</v>
      </c>
      <c r="AI83" s="50">
        <f t="shared" si="83"/>
        <v>-8678374</v>
      </c>
      <c r="AJ83" s="50">
        <f t="shared" si="83"/>
        <v>-9255288</v>
      </c>
      <c r="AK83" s="50">
        <f t="shared" si="83"/>
        <v>-9575791</v>
      </c>
      <c r="AL83" s="50">
        <f t="shared" si="83"/>
        <v>-9844457</v>
      </c>
      <c r="AM83" s="50">
        <f t="shared" si="83"/>
        <v>-10060664</v>
      </c>
      <c r="AN83" s="50">
        <f t="shared" si="83"/>
        <v>-10223782</v>
      </c>
      <c r="AO83" s="50">
        <f t="shared" si="83"/>
        <v>-10333175</v>
      </c>
      <c r="AP83" s="50">
        <f>+AO83</f>
        <v>-10333175</v>
      </c>
      <c r="AQ83" s="50">
        <f t="shared" ref="AQ83:BB83" si="84">+AQ79-AQ81</f>
        <v>-55023</v>
      </c>
      <c r="AR83" s="50">
        <f t="shared" si="84"/>
        <v>-55023</v>
      </c>
      <c r="AS83" s="50">
        <f t="shared" si="84"/>
        <v>-55023</v>
      </c>
      <c r="AT83" s="50">
        <f t="shared" si="84"/>
        <v>-55023</v>
      </c>
      <c r="AU83" s="50">
        <f t="shared" si="84"/>
        <v>-55023</v>
      </c>
      <c r="AV83" s="50">
        <f t="shared" si="84"/>
        <v>-55023</v>
      </c>
      <c r="AW83" s="50">
        <f t="shared" si="84"/>
        <v>-55023</v>
      </c>
      <c r="AX83" s="50">
        <f t="shared" si="84"/>
        <v>-55023</v>
      </c>
      <c r="AY83" s="50">
        <f t="shared" si="84"/>
        <v>-55023</v>
      </c>
      <c r="AZ83" s="50">
        <f t="shared" si="84"/>
        <v>-55023</v>
      </c>
      <c r="BA83" s="50">
        <f t="shared" si="84"/>
        <v>-55023</v>
      </c>
      <c r="BB83" s="50">
        <f t="shared" si="84"/>
        <v>-55023</v>
      </c>
      <c r="BC83" s="50">
        <f>+BB83</f>
        <v>-55023</v>
      </c>
      <c r="BD83" s="50">
        <f t="shared" ref="BD83:BO83" si="85">+BD79-BD81</f>
        <v>0</v>
      </c>
      <c r="BE83" s="50">
        <f t="shared" si="85"/>
        <v>0</v>
      </c>
      <c r="BF83" s="50">
        <f t="shared" si="85"/>
        <v>0</v>
      </c>
      <c r="BG83" s="50">
        <f t="shared" si="85"/>
        <v>0</v>
      </c>
      <c r="BH83" s="50">
        <f t="shared" si="85"/>
        <v>0</v>
      </c>
      <c r="BI83" s="50">
        <f t="shared" si="85"/>
        <v>0</v>
      </c>
      <c r="BJ83" s="50">
        <f t="shared" si="85"/>
        <v>0</v>
      </c>
      <c r="BK83" s="50">
        <f t="shared" si="85"/>
        <v>0</v>
      </c>
      <c r="BL83" s="50">
        <f t="shared" si="85"/>
        <v>0</v>
      </c>
      <c r="BM83" s="50">
        <f t="shared" si="85"/>
        <v>0</v>
      </c>
      <c r="BN83" s="50">
        <f t="shared" si="85"/>
        <v>0</v>
      </c>
      <c r="BO83" s="50">
        <f t="shared" si="85"/>
        <v>0</v>
      </c>
      <c r="BP83" s="50">
        <f>+BO83</f>
        <v>0</v>
      </c>
    </row>
    <row r="84" spans="2:68" x14ac:dyDescent="0.25">
      <c r="B84" s="44"/>
      <c r="C84" s="26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</row>
    <row r="85" spans="2:68" x14ac:dyDescent="0.25">
      <c r="B85" s="44" t="s">
        <v>229</v>
      </c>
      <c r="C85" s="26"/>
      <c r="D85" s="50">
        <f t="shared" ref="D85:O85" si="86">+D77+D83</f>
        <v>-3110516.6666666679</v>
      </c>
      <c r="E85" s="50">
        <f>+E77+E83</f>
        <v>-5108891.3333333358</v>
      </c>
      <c r="F85" s="50">
        <f t="shared" si="86"/>
        <v>-6088880</v>
      </c>
      <c r="G85" s="50">
        <f t="shared" si="86"/>
        <v>-9550047.6666666716</v>
      </c>
      <c r="H85" s="50">
        <f t="shared" si="86"/>
        <v>-10491954.333333328</v>
      </c>
      <c r="I85" s="50">
        <f t="shared" si="86"/>
        <v>-12914155</v>
      </c>
      <c r="J85" s="50">
        <f t="shared" si="86"/>
        <v>-714200.66666665673</v>
      </c>
      <c r="K85" s="50">
        <f t="shared" si="86"/>
        <v>8268509.6666666567</v>
      </c>
      <c r="L85" s="50">
        <f t="shared" si="86"/>
        <v>19813085</v>
      </c>
      <c r="M85" s="50">
        <f t="shared" si="86"/>
        <v>25520696.333333313</v>
      </c>
      <c r="N85" s="50">
        <f t="shared" si="86"/>
        <v>37192528.666666687</v>
      </c>
      <c r="O85" s="50">
        <f t="shared" si="86"/>
        <v>43929782</v>
      </c>
      <c r="P85" s="50">
        <f>+O85</f>
        <v>43929782</v>
      </c>
      <c r="Q85" s="50">
        <f t="shared" ref="Q85:AB85" si="87">+Q77+Q83</f>
        <v>9111091.3333333358</v>
      </c>
      <c r="R85" s="50">
        <f t="shared" si="87"/>
        <v>16106043.666666672</v>
      </c>
      <c r="S85" s="50">
        <f t="shared" si="87"/>
        <v>26290102</v>
      </c>
      <c r="T85" s="50">
        <f t="shared" si="87"/>
        <v>31488522.333333343</v>
      </c>
      <c r="U85" s="50">
        <f t="shared" si="87"/>
        <v>41814579.666666657</v>
      </c>
      <c r="V85" s="50">
        <f t="shared" si="87"/>
        <v>47093560</v>
      </c>
      <c r="W85" s="50">
        <f t="shared" si="87"/>
        <v>70084625.333333313</v>
      </c>
      <c r="X85" s="50">
        <f t="shared" si="87"/>
        <v>88885379.666666687</v>
      </c>
      <c r="Y85" s="50">
        <f t="shared" si="87"/>
        <v>112017444</v>
      </c>
      <c r="Z85" s="50">
        <f t="shared" si="87"/>
        <v>128771516.33333337</v>
      </c>
      <c r="AA85" s="50">
        <f t="shared" si="87"/>
        <v>152254327.66666675</v>
      </c>
      <c r="AB85" s="50">
        <f t="shared" si="87"/>
        <v>169236642</v>
      </c>
      <c r="AC85" s="50">
        <f>+AB85</f>
        <v>169236642</v>
      </c>
      <c r="AD85" s="50">
        <f t="shared" ref="AD85:AO85" si="88">+AD77+AD83</f>
        <v>21246291.133333333</v>
      </c>
      <c r="AE85" s="50">
        <f t="shared" si="88"/>
        <v>39216592.266666666</v>
      </c>
      <c r="AF85" s="50">
        <f t="shared" si="88"/>
        <v>62242089.400000006</v>
      </c>
      <c r="AG85" s="50">
        <f t="shared" si="88"/>
        <v>77985198.533333302</v>
      </c>
      <c r="AH85" s="50">
        <f t="shared" si="88"/>
        <v>101395415.66666669</v>
      </c>
      <c r="AI85" s="50">
        <f t="shared" si="88"/>
        <v>116135227.80000001</v>
      </c>
      <c r="AJ85" s="50">
        <f t="shared" si="88"/>
        <v>138535960.93333334</v>
      </c>
      <c r="AK85" s="50">
        <f t="shared" si="88"/>
        <v>157678413.06666666</v>
      </c>
      <c r="AL85" s="50">
        <f t="shared" si="88"/>
        <v>181686331.20000005</v>
      </c>
      <c r="AM85" s="50">
        <f t="shared" si="88"/>
        <v>199419857.33333337</v>
      </c>
      <c r="AN85" s="50">
        <f t="shared" si="88"/>
        <v>223426180.4666667</v>
      </c>
      <c r="AO85" s="50">
        <f t="shared" si="88"/>
        <v>240565457.60000002</v>
      </c>
      <c r="AP85" s="50">
        <f>+AO85</f>
        <v>240565457.60000002</v>
      </c>
      <c r="AQ85" s="50">
        <f t="shared" ref="AQ85:BB85" si="89">+AQ77+AQ83</f>
        <v>24830463.466666661</v>
      </c>
      <c r="AR85" s="50">
        <f t="shared" si="89"/>
        <v>46257496.933333322</v>
      </c>
      <c r="AS85" s="50">
        <f t="shared" si="89"/>
        <v>72498158.400000006</v>
      </c>
      <c r="AT85" s="50">
        <f t="shared" si="89"/>
        <v>91155730.866666675</v>
      </c>
      <c r="AU85" s="50">
        <f t="shared" si="89"/>
        <v>117289250.33333331</v>
      </c>
      <c r="AV85" s="50">
        <f t="shared" si="89"/>
        <v>134501997.80000001</v>
      </c>
      <c r="AW85" s="50">
        <f t="shared" si="89"/>
        <v>159066056.26666671</v>
      </c>
      <c r="AX85" s="50">
        <f t="shared" si="89"/>
        <v>180171660.73333329</v>
      </c>
      <c r="AY85" s="50">
        <f t="shared" si="89"/>
        <v>206090894.20000005</v>
      </c>
      <c r="AZ85" s="50">
        <f t="shared" si="89"/>
        <v>225627037.66666663</v>
      </c>
      <c r="BA85" s="50">
        <f t="shared" si="89"/>
        <v>251439128.13333344</v>
      </c>
      <c r="BB85" s="50">
        <f t="shared" si="89"/>
        <v>270330447.60000002</v>
      </c>
      <c r="BC85" s="50">
        <f>+BB85</f>
        <v>270330447.60000002</v>
      </c>
      <c r="BD85" s="50">
        <f t="shared" ref="BD85:BO85" si="90">+BD77+BD83</f>
        <v>26505305.466666661</v>
      </c>
      <c r="BE85" s="50">
        <f t="shared" si="90"/>
        <v>49610644.933333322</v>
      </c>
      <c r="BF85" s="50">
        <f t="shared" si="90"/>
        <v>77529612.400000006</v>
      </c>
      <c r="BG85" s="50">
        <f t="shared" si="90"/>
        <v>97807003.866666675</v>
      </c>
      <c r="BH85" s="50">
        <f t="shared" si="90"/>
        <v>125618828.33333331</v>
      </c>
      <c r="BI85" s="50">
        <f t="shared" si="90"/>
        <v>144509881.80000001</v>
      </c>
      <c r="BJ85" s="50">
        <f t="shared" si="90"/>
        <v>170693759.26666671</v>
      </c>
      <c r="BK85" s="50">
        <f t="shared" si="90"/>
        <v>193477669.73333329</v>
      </c>
      <c r="BL85" s="50">
        <f t="shared" si="90"/>
        <v>221075209.20000005</v>
      </c>
      <c r="BM85" s="50">
        <f t="shared" si="90"/>
        <v>242231171.66666663</v>
      </c>
      <c r="BN85" s="50">
        <f t="shared" si="90"/>
        <v>269721568.13333344</v>
      </c>
      <c r="BO85" s="50">
        <f t="shared" si="90"/>
        <v>290291192.60000002</v>
      </c>
      <c r="BP85" s="50">
        <f>+BO85</f>
        <v>290291192.60000002</v>
      </c>
    </row>
    <row r="86" spans="2:68" x14ac:dyDescent="0.25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</row>
    <row r="87" spans="2:68" x14ac:dyDescent="0.25">
      <c r="B87" s="44" t="s">
        <v>228</v>
      </c>
      <c r="C87" s="26"/>
      <c r="D87" s="50">
        <f>ROUND(IF(D85&gt;0,D85*0.33,0),0)</f>
        <v>0</v>
      </c>
      <c r="E87" s="50">
        <f t="shared" ref="E87:AO87" si="91">ROUND(IF(E85&gt;0,E85*0.33,0),0)</f>
        <v>0</v>
      </c>
      <c r="F87" s="50">
        <f t="shared" si="91"/>
        <v>0</v>
      </c>
      <c r="G87" s="50">
        <f t="shared" si="91"/>
        <v>0</v>
      </c>
      <c r="H87" s="50">
        <f t="shared" si="91"/>
        <v>0</v>
      </c>
      <c r="I87" s="50">
        <f t="shared" si="91"/>
        <v>0</v>
      </c>
      <c r="J87" s="50">
        <f t="shared" si="91"/>
        <v>0</v>
      </c>
      <c r="K87" s="50">
        <f t="shared" si="91"/>
        <v>2728608</v>
      </c>
      <c r="L87" s="50">
        <f t="shared" si="91"/>
        <v>6538318</v>
      </c>
      <c r="M87" s="50">
        <f t="shared" si="91"/>
        <v>8421830</v>
      </c>
      <c r="N87" s="50">
        <f t="shared" si="91"/>
        <v>12273534</v>
      </c>
      <c r="O87" s="50">
        <f t="shared" si="91"/>
        <v>14496828</v>
      </c>
      <c r="P87" s="50">
        <f>+O87</f>
        <v>14496828</v>
      </c>
      <c r="Q87" s="50">
        <f t="shared" si="91"/>
        <v>3006660</v>
      </c>
      <c r="R87" s="50">
        <f t="shared" si="91"/>
        <v>5314994</v>
      </c>
      <c r="S87" s="50">
        <f t="shared" si="91"/>
        <v>8675734</v>
      </c>
      <c r="T87" s="50">
        <f t="shared" si="91"/>
        <v>10391212</v>
      </c>
      <c r="U87" s="50">
        <f t="shared" si="91"/>
        <v>13798811</v>
      </c>
      <c r="V87" s="50">
        <f t="shared" si="91"/>
        <v>15540875</v>
      </c>
      <c r="W87" s="50">
        <f t="shared" si="91"/>
        <v>23127926</v>
      </c>
      <c r="X87" s="50">
        <f t="shared" si="91"/>
        <v>29332175</v>
      </c>
      <c r="Y87" s="50">
        <f t="shared" si="91"/>
        <v>36965757</v>
      </c>
      <c r="Z87" s="50">
        <f t="shared" si="91"/>
        <v>42494600</v>
      </c>
      <c r="AA87" s="50">
        <f t="shared" si="91"/>
        <v>50243928</v>
      </c>
      <c r="AB87" s="50">
        <f t="shared" si="91"/>
        <v>55848092</v>
      </c>
      <c r="AC87" s="50">
        <f>+AB87</f>
        <v>55848092</v>
      </c>
      <c r="AD87" s="50">
        <f t="shared" si="91"/>
        <v>7011276</v>
      </c>
      <c r="AE87" s="50">
        <f t="shared" si="91"/>
        <v>12941475</v>
      </c>
      <c r="AF87" s="50">
        <f t="shared" si="91"/>
        <v>20539890</v>
      </c>
      <c r="AG87" s="50">
        <f t="shared" si="91"/>
        <v>25735116</v>
      </c>
      <c r="AH87" s="50">
        <f t="shared" si="91"/>
        <v>33460487</v>
      </c>
      <c r="AI87" s="50">
        <f t="shared" si="91"/>
        <v>38324625</v>
      </c>
      <c r="AJ87" s="50">
        <f t="shared" si="91"/>
        <v>45716867</v>
      </c>
      <c r="AK87" s="50">
        <f t="shared" si="91"/>
        <v>52033876</v>
      </c>
      <c r="AL87" s="50">
        <f t="shared" si="91"/>
        <v>59956489</v>
      </c>
      <c r="AM87" s="50">
        <f t="shared" si="91"/>
        <v>65808553</v>
      </c>
      <c r="AN87" s="50">
        <f t="shared" si="91"/>
        <v>73730640</v>
      </c>
      <c r="AO87" s="50">
        <f t="shared" si="91"/>
        <v>79386601</v>
      </c>
      <c r="AP87" s="50">
        <f>+AO87</f>
        <v>79386601</v>
      </c>
      <c r="AQ87" s="50">
        <f t="shared" ref="AQ87:BB87" si="92">ROUND(IF(AQ85&gt;0,AQ85*0.33,0),0)</f>
        <v>8194053</v>
      </c>
      <c r="AR87" s="50">
        <f t="shared" si="92"/>
        <v>15264974</v>
      </c>
      <c r="AS87" s="50">
        <f t="shared" si="92"/>
        <v>23924392</v>
      </c>
      <c r="AT87" s="50">
        <f t="shared" si="92"/>
        <v>30081391</v>
      </c>
      <c r="AU87" s="50">
        <f t="shared" si="92"/>
        <v>38705453</v>
      </c>
      <c r="AV87" s="50">
        <f t="shared" si="92"/>
        <v>44385659</v>
      </c>
      <c r="AW87" s="50">
        <f t="shared" si="92"/>
        <v>52491799</v>
      </c>
      <c r="AX87" s="50">
        <f t="shared" si="92"/>
        <v>59456648</v>
      </c>
      <c r="AY87" s="50">
        <f t="shared" si="92"/>
        <v>68009995</v>
      </c>
      <c r="AZ87" s="50">
        <f t="shared" si="92"/>
        <v>74456922</v>
      </c>
      <c r="BA87" s="50">
        <f t="shared" si="92"/>
        <v>82974912</v>
      </c>
      <c r="BB87" s="50">
        <f t="shared" si="92"/>
        <v>89209048</v>
      </c>
      <c r="BC87" s="50">
        <f>+BB87</f>
        <v>89209048</v>
      </c>
      <c r="BD87" s="50">
        <f t="shared" ref="BD87:BO87" si="93">ROUND(IF(BD85&gt;0,BD85*0.33,0),0)</f>
        <v>8746751</v>
      </c>
      <c r="BE87" s="50">
        <f t="shared" si="93"/>
        <v>16371513</v>
      </c>
      <c r="BF87" s="50">
        <f t="shared" si="93"/>
        <v>25584772</v>
      </c>
      <c r="BG87" s="50">
        <f t="shared" si="93"/>
        <v>32276311</v>
      </c>
      <c r="BH87" s="50">
        <f t="shared" si="93"/>
        <v>41454213</v>
      </c>
      <c r="BI87" s="50">
        <f t="shared" si="93"/>
        <v>47688261</v>
      </c>
      <c r="BJ87" s="50">
        <f t="shared" si="93"/>
        <v>56328941</v>
      </c>
      <c r="BK87" s="50">
        <f t="shared" si="93"/>
        <v>63847631</v>
      </c>
      <c r="BL87" s="50">
        <f t="shared" si="93"/>
        <v>72954819</v>
      </c>
      <c r="BM87" s="50">
        <f t="shared" si="93"/>
        <v>79936287</v>
      </c>
      <c r="BN87" s="50">
        <f t="shared" si="93"/>
        <v>89008117</v>
      </c>
      <c r="BO87" s="50">
        <f t="shared" si="93"/>
        <v>95796094</v>
      </c>
      <c r="BP87" s="50">
        <f>+BO87</f>
        <v>95796094</v>
      </c>
    </row>
    <row r="88" spans="2:68" x14ac:dyDescent="0.2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</row>
    <row r="89" spans="2:68" ht="15.75" x14ac:dyDescent="0.25">
      <c r="B89" s="53" t="s">
        <v>230</v>
      </c>
      <c r="D89" s="52">
        <f>+D85-D87</f>
        <v>-3110516.6666666679</v>
      </c>
      <c r="E89" s="52">
        <f t="shared" ref="E89:AO89" si="94">+E85-E87</f>
        <v>-5108891.3333333358</v>
      </c>
      <c r="F89" s="52">
        <f t="shared" si="94"/>
        <v>-6088880</v>
      </c>
      <c r="G89" s="52">
        <f t="shared" si="94"/>
        <v>-9550047.6666666716</v>
      </c>
      <c r="H89" s="52">
        <f t="shared" si="94"/>
        <v>-10491954.333333328</v>
      </c>
      <c r="I89" s="52">
        <f t="shared" si="94"/>
        <v>-12914155</v>
      </c>
      <c r="J89" s="52">
        <f t="shared" si="94"/>
        <v>-714200.66666665673</v>
      </c>
      <c r="K89" s="52">
        <f t="shared" si="94"/>
        <v>5539901.6666666567</v>
      </c>
      <c r="L89" s="52">
        <f t="shared" si="94"/>
        <v>13274767</v>
      </c>
      <c r="M89" s="52">
        <f t="shared" si="94"/>
        <v>17098866.333333313</v>
      </c>
      <c r="N89" s="52">
        <f t="shared" si="94"/>
        <v>24918994.666666687</v>
      </c>
      <c r="O89" s="52">
        <f t="shared" si="94"/>
        <v>29432954</v>
      </c>
      <c r="P89" s="52">
        <f>+O89</f>
        <v>29432954</v>
      </c>
      <c r="Q89" s="52">
        <f t="shared" si="94"/>
        <v>6104431.3333333358</v>
      </c>
      <c r="R89" s="52">
        <f t="shared" si="94"/>
        <v>10791049.666666672</v>
      </c>
      <c r="S89" s="52">
        <f t="shared" si="94"/>
        <v>17614368</v>
      </c>
      <c r="T89" s="52">
        <f t="shared" si="94"/>
        <v>21097310.333333343</v>
      </c>
      <c r="U89" s="52">
        <f t="shared" si="94"/>
        <v>28015768.666666657</v>
      </c>
      <c r="V89" s="52">
        <f t="shared" si="94"/>
        <v>31552685</v>
      </c>
      <c r="W89" s="52">
        <f t="shared" si="94"/>
        <v>46956699.333333313</v>
      </c>
      <c r="X89" s="52">
        <f t="shared" si="94"/>
        <v>59553204.666666687</v>
      </c>
      <c r="Y89" s="52">
        <f t="shared" si="94"/>
        <v>75051687</v>
      </c>
      <c r="Z89" s="52">
        <f t="shared" si="94"/>
        <v>86276916.333333373</v>
      </c>
      <c r="AA89" s="52">
        <f t="shared" si="94"/>
        <v>102010399.66666675</v>
      </c>
      <c r="AB89" s="52">
        <f t="shared" si="94"/>
        <v>113388550</v>
      </c>
      <c r="AC89" s="52">
        <f>+AB89</f>
        <v>113388550</v>
      </c>
      <c r="AD89" s="52">
        <f t="shared" si="94"/>
        <v>14235015.133333333</v>
      </c>
      <c r="AE89" s="52">
        <f t="shared" si="94"/>
        <v>26275117.266666666</v>
      </c>
      <c r="AF89" s="52">
        <f t="shared" si="94"/>
        <v>41702199.400000006</v>
      </c>
      <c r="AG89" s="52">
        <f t="shared" si="94"/>
        <v>52250082.533333302</v>
      </c>
      <c r="AH89" s="52">
        <f t="shared" si="94"/>
        <v>67934928.666666687</v>
      </c>
      <c r="AI89" s="52">
        <f t="shared" si="94"/>
        <v>77810602.800000012</v>
      </c>
      <c r="AJ89" s="52">
        <f t="shared" si="94"/>
        <v>92819093.933333337</v>
      </c>
      <c r="AK89" s="52">
        <f t="shared" si="94"/>
        <v>105644537.06666666</v>
      </c>
      <c r="AL89" s="52">
        <f t="shared" si="94"/>
        <v>121729842.20000005</v>
      </c>
      <c r="AM89" s="52">
        <f t="shared" si="94"/>
        <v>133611304.33333337</v>
      </c>
      <c r="AN89" s="52">
        <f t="shared" si="94"/>
        <v>149695540.4666667</v>
      </c>
      <c r="AO89" s="52">
        <f t="shared" si="94"/>
        <v>161178856.60000002</v>
      </c>
      <c r="AP89" s="52">
        <f>+AO89</f>
        <v>161178856.60000002</v>
      </c>
      <c r="AQ89" s="52">
        <f t="shared" ref="AQ89:BB89" si="95">+AQ85-AQ87</f>
        <v>16636410.466666661</v>
      </c>
      <c r="AR89" s="52">
        <f t="shared" si="95"/>
        <v>30992522.933333322</v>
      </c>
      <c r="AS89" s="52">
        <f t="shared" si="95"/>
        <v>48573766.400000006</v>
      </c>
      <c r="AT89" s="52">
        <f t="shared" si="95"/>
        <v>61074339.866666675</v>
      </c>
      <c r="AU89" s="52">
        <f t="shared" si="95"/>
        <v>78583797.333333313</v>
      </c>
      <c r="AV89" s="52">
        <f t="shared" si="95"/>
        <v>90116338.800000012</v>
      </c>
      <c r="AW89" s="52">
        <f t="shared" si="95"/>
        <v>106574257.26666671</v>
      </c>
      <c r="AX89" s="52">
        <f t="shared" si="95"/>
        <v>120715012.73333329</v>
      </c>
      <c r="AY89" s="52">
        <f t="shared" si="95"/>
        <v>138080899.20000005</v>
      </c>
      <c r="AZ89" s="52">
        <f t="shared" si="95"/>
        <v>151170115.66666663</v>
      </c>
      <c r="BA89" s="52">
        <f t="shared" si="95"/>
        <v>168464216.13333344</v>
      </c>
      <c r="BB89" s="52">
        <f t="shared" si="95"/>
        <v>181121399.60000002</v>
      </c>
      <c r="BC89" s="52">
        <f>+BB89</f>
        <v>181121399.60000002</v>
      </c>
      <c r="BD89" s="52">
        <f t="shared" ref="BD89:BO89" si="96">+BD85-BD87</f>
        <v>17758554.466666661</v>
      </c>
      <c r="BE89" s="52">
        <f t="shared" si="96"/>
        <v>33239131.933333322</v>
      </c>
      <c r="BF89" s="52">
        <f t="shared" si="96"/>
        <v>51944840.400000006</v>
      </c>
      <c r="BG89" s="52">
        <f t="shared" si="96"/>
        <v>65530692.866666675</v>
      </c>
      <c r="BH89" s="52">
        <f t="shared" si="96"/>
        <v>84164615.333333313</v>
      </c>
      <c r="BI89" s="52">
        <f t="shared" si="96"/>
        <v>96821620.800000012</v>
      </c>
      <c r="BJ89" s="52">
        <f t="shared" si="96"/>
        <v>114364818.26666671</v>
      </c>
      <c r="BK89" s="52">
        <f t="shared" si="96"/>
        <v>129630038.73333329</v>
      </c>
      <c r="BL89" s="52">
        <f t="shared" si="96"/>
        <v>148120390.20000005</v>
      </c>
      <c r="BM89" s="52">
        <f t="shared" si="96"/>
        <v>162294884.66666663</v>
      </c>
      <c r="BN89" s="52">
        <f t="shared" si="96"/>
        <v>180713451.13333344</v>
      </c>
      <c r="BO89" s="52">
        <f t="shared" si="96"/>
        <v>194495098.60000002</v>
      </c>
      <c r="BP89" s="52">
        <f>+BO89</f>
        <v>194495098.60000002</v>
      </c>
    </row>
    <row r="90" spans="2:68" x14ac:dyDescent="0.2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</row>
    <row r="91" spans="2:68" x14ac:dyDescent="0.2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</row>
    <row r="92" spans="2:68" x14ac:dyDescent="0.2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</row>
    <row r="93" spans="2:68" x14ac:dyDescent="0.2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</row>
    <row r="94" spans="2:68" x14ac:dyDescent="0.2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</row>
    <row r="95" spans="2:68" x14ac:dyDescent="0.2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</row>
    <row r="96" spans="2:68" x14ac:dyDescent="0.2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</row>
    <row r="97" spans="4:68" x14ac:dyDescent="0.2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</row>
    <row r="98" spans="4:68" x14ac:dyDescent="0.2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</row>
    <row r="99" spans="4:68" x14ac:dyDescent="0.2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</row>
    <row r="100" spans="4:68" x14ac:dyDescent="0.25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</row>
    <row r="101" spans="4:68" x14ac:dyDescent="0.2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</row>
    <row r="102" spans="4:68" x14ac:dyDescent="0.2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</row>
    <row r="103" spans="4:68" x14ac:dyDescent="0.2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</row>
    <row r="104" spans="4:68" x14ac:dyDescent="0.2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</row>
    <row r="105" spans="4:68" x14ac:dyDescent="0.2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</row>
    <row r="106" spans="4:68" x14ac:dyDescent="0.25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</row>
    <row r="107" spans="4:68" x14ac:dyDescent="0.2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</row>
    <row r="108" spans="4:68" x14ac:dyDescent="0.2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</row>
    <row r="109" spans="4:68" x14ac:dyDescent="0.2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</row>
    <row r="110" spans="4:68" x14ac:dyDescent="0.2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</row>
    <row r="111" spans="4:68" x14ac:dyDescent="0.2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</row>
    <row r="112" spans="4:68" x14ac:dyDescent="0.2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</row>
    <row r="113" spans="4:68" x14ac:dyDescent="0.2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</row>
    <row r="114" spans="4:68" x14ac:dyDescent="0.2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</row>
    <row r="115" spans="4:68" x14ac:dyDescent="0.2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</row>
    <row r="116" spans="4:68" x14ac:dyDescent="0.2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</row>
    <row r="117" spans="4:68" x14ac:dyDescent="0.2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</row>
    <row r="118" spans="4:68" x14ac:dyDescent="0.2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</row>
    <row r="119" spans="4:68" x14ac:dyDescent="0.2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</row>
    <row r="120" spans="4:68" x14ac:dyDescent="0.2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</row>
    <row r="121" spans="4:68" x14ac:dyDescent="0.2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</row>
    <row r="122" spans="4:68" x14ac:dyDescent="0.25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</row>
    <row r="123" spans="4:68" x14ac:dyDescent="0.25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</row>
    <row r="124" spans="4:68" x14ac:dyDescent="0.25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</row>
    <row r="125" spans="4:68" x14ac:dyDescent="0.25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</row>
    <row r="126" spans="4:68" x14ac:dyDescent="0.2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</row>
    <row r="127" spans="4:68" x14ac:dyDescent="0.25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</row>
    <row r="128" spans="4:68" x14ac:dyDescent="0.25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</row>
    <row r="129" spans="4:68" x14ac:dyDescent="0.2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</row>
    <row r="130" spans="4:68" x14ac:dyDescent="0.25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</row>
    <row r="131" spans="4:68" x14ac:dyDescent="0.25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</row>
    <row r="132" spans="4:68" x14ac:dyDescent="0.25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</row>
    <row r="133" spans="4:68" x14ac:dyDescent="0.2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</row>
    <row r="134" spans="4:68" x14ac:dyDescent="0.25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</row>
    <row r="135" spans="4:68" x14ac:dyDescent="0.25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</row>
    <row r="136" spans="4:68" x14ac:dyDescent="0.25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</row>
    <row r="137" spans="4:68" x14ac:dyDescent="0.25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</row>
    <row r="138" spans="4:68" x14ac:dyDescent="0.25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</row>
    <row r="139" spans="4:68" x14ac:dyDescent="0.25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</row>
    <row r="140" spans="4:68" x14ac:dyDescent="0.25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</row>
    <row r="141" spans="4:68" x14ac:dyDescent="0.25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</row>
    <row r="142" spans="4:68" x14ac:dyDescent="0.25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</row>
    <row r="143" spans="4:68" x14ac:dyDescent="0.25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</row>
    <row r="144" spans="4:68" x14ac:dyDescent="0.25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</row>
    <row r="145" spans="4:68" x14ac:dyDescent="0.2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</row>
    <row r="146" spans="4:68" x14ac:dyDescent="0.2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</row>
    <row r="147" spans="4:68" x14ac:dyDescent="0.2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</row>
    <row r="148" spans="4:68" x14ac:dyDescent="0.2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</row>
    <row r="149" spans="4:68" x14ac:dyDescent="0.2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</row>
    <row r="150" spans="4:68" x14ac:dyDescent="0.2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</row>
    <row r="151" spans="4:68" x14ac:dyDescent="0.2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</row>
    <row r="152" spans="4:68" x14ac:dyDescent="0.2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</row>
    <row r="153" spans="4:68" x14ac:dyDescent="0.2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</row>
    <row r="154" spans="4:68" x14ac:dyDescent="0.2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</row>
    <row r="155" spans="4:68" x14ac:dyDescent="0.2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</row>
    <row r="156" spans="4:68" x14ac:dyDescent="0.2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</row>
    <row r="157" spans="4:68" x14ac:dyDescent="0.2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</row>
    <row r="158" spans="4:68" x14ac:dyDescent="0.2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</row>
    <row r="159" spans="4:68" x14ac:dyDescent="0.2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</row>
    <row r="160" spans="4:68" x14ac:dyDescent="0.2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</row>
    <row r="161" spans="4:68" x14ac:dyDescent="0.2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</row>
    <row r="162" spans="4:68" x14ac:dyDescent="0.2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</row>
    <row r="163" spans="4:68" x14ac:dyDescent="0.2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</row>
    <row r="164" spans="4:68" x14ac:dyDescent="0.2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</row>
    <row r="165" spans="4:68" x14ac:dyDescent="0.2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</row>
    <row r="166" spans="4:68" x14ac:dyDescent="0.2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</row>
    <row r="167" spans="4:68" x14ac:dyDescent="0.2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</row>
    <row r="168" spans="4:68" x14ac:dyDescent="0.2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</row>
    <row r="169" spans="4:68" x14ac:dyDescent="0.2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</row>
    <row r="170" spans="4:68" x14ac:dyDescent="0.2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</row>
    <row r="171" spans="4:68" x14ac:dyDescent="0.2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</row>
    <row r="172" spans="4:68" x14ac:dyDescent="0.2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</row>
    <row r="173" spans="4:68" x14ac:dyDescent="0.2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</row>
    <row r="174" spans="4:68" x14ac:dyDescent="0.2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</row>
    <row r="175" spans="4:68" x14ac:dyDescent="0.2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</row>
    <row r="176" spans="4:68" x14ac:dyDescent="0.2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</row>
    <row r="177" spans="4:68" x14ac:dyDescent="0.2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</row>
    <row r="178" spans="4:68" x14ac:dyDescent="0.25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</row>
    <row r="179" spans="4:68" x14ac:dyDescent="0.25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</row>
    <row r="180" spans="4:68" x14ac:dyDescent="0.25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</row>
    <row r="181" spans="4:68" x14ac:dyDescent="0.25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</row>
    <row r="182" spans="4:68" x14ac:dyDescent="0.25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</row>
    <row r="183" spans="4:68" x14ac:dyDescent="0.25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</row>
    <row r="184" spans="4:68" x14ac:dyDescent="0.25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</row>
    <row r="185" spans="4:68" x14ac:dyDescent="0.25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</row>
    <row r="186" spans="4:68" x14ac:dyDescent="0.25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</row>
    <row r="187" spans="4:68" x14ac:dyDescent="0.25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</row>
    <row r="188" spans="4:68" x14ac:dyDescent="0.25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</row>
    <row r="189" spans="4:68" x14ac:dyDescent="0.2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</row>
    <row r="190" spans="4:68" x14ac:dyDescent="0.2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</row>
    <row r="191" spans="4:68" x14ac:dyDescent="0.2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</row>
    <row r="192" spans="4:68" x14ac:dyDescent="0.25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</row>
    <row r="193" spans="4:68" x14ac:dyDescent="0.25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</row>
    <row r="194" spans="4:68" x14ac:dyDescent="0.25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</row>
    <row r="195" spans="4:68" x14ac:dyDescent="0.25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</row>
    <row r="196" spans="4:68" x14ac:dyDescent="0.2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</row>
    <row r="197" spans="4:68" x14ac:dyDescent="0.2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</row>
    <row r="198" spans="4:68" x14ac:dyDescent="0.2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</row>
    <row r="199" spans="4:68" x14ac:dyDescent="0.25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</row>
    <row r="200" spans="4:68" x14ac:dyDescent="0.25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</row>
    <row r="201" spans="4:68" x14ac:dyDescent="0.25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</row>
    <row r="202" spans="4:68" x14ac:dyDescent="0.25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</row>
    <row r="203" spans="4:68" x14ac:dyDescent="0.25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</row>
    <row r="204" spans="4:68" x14ac:dyDescent="0.25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</row>
    <row r="205" spans="4:68" x14ac:dyDescent="0.25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</row>
    <row r="206" spans="4:68" x14ac:dyDescent="0.25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</row>
    <row r="207" spans="4:68" x14ac:dyDescent="0.25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</row>
    <row r="208" spans="4:68" x14ac:dyDescent="0.25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</row>
    <row r="209" spans="4:68" x14ac:dyDescent="0.25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</row>
    <row r="210" spans="4:68" x14ac:dyDescent="0.25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</row>
    <row r="211" spans="4:68" x14ac:dyDescent="0.25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</row>
    <row r="212" spans="4:68" x14ac:dyDescent="0.25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</row>
    <row r="213" spans="4:68" x14ac:dyDescent="0.25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</row>
    <row r="214" spans="4:68" x14ac:dyDescent="0.25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</row>
    <row r="215" spans="4:68" x14ac:dyDescent="0.25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</row>
    <row r="216" spans="4:68" x14ac:dyDescent="0.25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</row>
    <row r="217" spans="4:68" x14ac:dyDescent="0.25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</row>
    <row r="218" spans="4:68" x14ac:dyDescent="0.25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</row>
    <row r="219" spans="4:68" x14ac:dyDescent="0.25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</row>
    <row r="220" spans="4:68" x14ac:dyDescent="0.25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</row>
    <row r="221" spans="4:68" x14ac:dyDescent="0.25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</row>
    <row r="222" spans="4:68" x14ac:dyDescent="0.25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</row>
    <row r="223" spans="4:68" x14ac:dyDescent="0.25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</row>
    <row r="224" spans="4:68" x14ac:dyDescent="0.25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</row>
    <row r="225" spans="4:68" x14ac:dyDescent="0.25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</row>
    <row r="226" spans="4:68" x14ac:dyDescent="0.25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</row>
    <row r="227" spans="4:68" x14ac:dyDescent="0.25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</row>
    <row r="228" spans="4:68" x14ac:dyDescent="0.25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</row>
    <row r="229" spans="4:68" x14ac:dyDescent="0.25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</row>
    <row r="230" spans="4:68" x14ac:dyDescent="0.25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</row>
    <row r="231" spans="4:68" x14ac:dyDescent="0.25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</row>
    <row r="232" spans="4:68" x14ac:dyDescent="0.25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</row>
    <row r="233" spans="4:68" x14ac:dyDescent="0.25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</row>
    <row r="234" spans="4:68" x14ac:dyDescent="0.25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</row>
    <row r="235" spans="4:68" x14ac:dyDescent="0.25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</row>
    <row r="236" spans="4:68" x14ac:dyDescent="0.2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</row>
    <row r="237" spans="4:68" x14ac:dyDescent="0.25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</row>
    <row r="238" spans="4:68" x14ac:dyDescent="0.25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</row>
    <row r="239" spans="4:68" x14ac:dyDescent="0.25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</row>
    <row r="240" spans="4:68" x14ac:dyDescent="0.25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</row>
    <row r="241" spans="4:68" x14ac:dyDescent="0.25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</row>
    <row r="242" spans="4:68" x14ac:dyDescent="0.25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</row>
    <row r="243" spans="4:68" x14ac:dyDescent="0.25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</row>
    <row r="244" spans="4:68" x14ac:dyDescent="0.25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</row>
    <row r="245" spans="4:68" x14ac:dyDescent="0.25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</row>
    <row r="246" spans="4:68" x14ac:dyDescent="0.25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</row>
    <row r="247" spans="4:68" x14ac:dyDescent="0.25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</row>
    <row r="248" spans="4:68" x14ac:dyDescent="0.25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</row>
    <row r="249" spans="4:68" x14ac:dyDescent="0.25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</row>
    <row r="250" spans="4:68" x14ac:dyDescent="0.25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</row>
    <row r="251" spans="4:68" x14ac:dyDescent="0.25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</row>
    <row r="252" spans="4:68" x14ac:dyDescent="0.25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</row>
    <row r="253" spans="4:68" x14ac:dyDescent="0.25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</row>
    <row r="254" spans="4:68" x14ac:dyDescent="0.25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</row>
    <row r="255" spans="4:68" x14ac:dyDescent="0.25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</row>
    <row r="256" spans="4:68" x14ac:dyDescent="0.2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</row>
    <row r="257" spans="4:68" x14ac:dyDescent="0.2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</row>
    <row r="258" spans="4:68" x14ac:dyDescent="0.2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</row>
    <row r="259" spans="4:68" x14ac:dyDescent="0.2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</row>
    <row r="260" spans="4:68" x14ac:dyDescent="0.2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</row>
    <row r="261" spans="4:68" x14ac:dyDescent="0.2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</row>
    <row r="262" spans="4:68" x14ac:dyDescent="0.2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</row>
    <row r="263" spans="4:68" x14ac:dyDescent="0.2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</row>
    <row r="264" spans="4:68" x14ac:dyDescent="0.2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</row>
    <row r="265" spans="4:68" x14ac:dyDescent="0.2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</row>
    <row r="266" spans="4:68" x14ac:dyDescent="0.2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</row>
    <row r="267" spans="4:68" x14ac:dyDescent="0.2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</row>
    <row r="268" spans="4:68" x14ac:dyDescent="0.2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</row>
    <row r="269" spans="4:68" x14ac:dyDescent="0.2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</row>
    <row r="270" spans="4:68" x14ac:dyDescent="0.2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</row>
    <row r="271" spans="4:68" x14ac:dyDescent="0.2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</row>
    <row r="272" spans="4:68" x14ac:dyDescent="0.2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</row>
    <row r="273" spans="4:68" x14ac:dyDescent="0.2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</row>
    <row r="274" spans="4:68" x14ac:dyDescent="0.2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</row>
    <row r="275" spans="4:68" x14ac:dyDescent="0.2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</row>
    <row r="276" spans="4:68" x14ac:dyDescent="0.2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</row>
    <row r="277" spans="4:68" x14ac:dyDescent="0.2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</row>
    <row r="278" spans="4:68" x14ac:dyDescent="0.2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</row>
    <row r="279" spans="4:68" x14ac:dyDescent="0.2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</row>
    <row r="280" spans="4:68" x14ac:dyDescent="0.2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</row>
    <row r="281" spans="4:68" x14ac:dyDescent="0.2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</row>
    <row r="282" spans="4:68" x14ac:dyDescent="0.2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</row>
    <row r="283" spans="4:68" x14ac:dyDescent="0.2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</row>
    <row r="284" spans="4:68" x14ac:dyDescent="0.2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</row>
    <row r="285" spans="4:68" x14ac:dyDescent="0.2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</row>
    <row r="286" spans="4:68" x14ac:dyDescent="0.2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</row>
    <row r="287" spans="4:68" x14ac:dyDescent="0.2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</row>
    <row r="288" spans="4:68" x14ac:dyDescent="0.2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</row>
    <row r="289" spans="4:68" x14ac:dyDescent="0.2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</row>
    <row r="290" spans="4:68" x14ac:dyDescent="0.2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</row>
    <row r="291" spans="4:68" x14ac:dyDescent="0.2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</row>
    <row r="292" spans="4:68" x14ac:dyDescent="0.2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</row>
    <row r="293" spans="4:68" x14ac:dyDescent="0.2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</row>
    <row r="294" spans="4:68" x14ac:dyDescent="0.2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</row>
    <row r="295" spans="4:68" x14ac:dyDescent="0.2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</row>
    <row r="296" spans="4:68" x14ac:dyDescent="0.2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</row>
    <row r="297" spans="4:68" x14ac:dyDescent="0.2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</row>
    <row r="298" spans="4:68" x14ac:dyDescent="0.2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</row>
    <row r="299" spans="4:68" x14ac:dyDescent="0.2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</row>
    <row r="300" spans="4:68" x14ac:dyDescent="0.25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</row>
    <row r="301" spans="4:68" x14ac:dyDescent="0.25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</row>
    <row r="302" spans="4:68" x14ac:dyDescent="0.25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</row>
    <row r="303" spans="4:68" x14ac:dyDescent="0.25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</row>
    <row r="304" spans="4:68" x14ac:dyDescent="0.25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</row>
    <row r="305" spans="4:68" x14ac:dyDescent="0.25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</row>
    <row r="306" spans="4:68" x14ac:dyDescent="0.25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</row>
    <row r="307" spans="4:68" x14ac:dyDescent="0.25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</row>
    <row r="308" spans="4:68" x14ac:dyDescent="0.25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</row>
    <row r="309" spans="4:68" x14ac:dyDescent="0.25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</row>
  </sheetData>
  <conditionalFormatting sqref="D54:AP54">
    <cfRule type="cellIs" dxfId="2" priority="3" operator="notEqual">
      <formula>0</formula>
    </cfRule>
  </conditionalFormatting>
  <conditionalFormatting sqref="AQ54:BC54">
    <cfRule type="cellIs" dxfId="1" priority="2" operator="notEqual">
      <formula>0</formula>
    </cfRule>
  </conditionalFormatting>
  <conditionalFormatting sqref="BD54:BP5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41"/>
  <sheetViews>
    <sheetView workbookViewId="0">
      <pane xSplit="3" ySplit="4" topLeftCell="P5" activePane="bottomRight" state="frozen"/>
      <selection pane="topRight" activeCell="D1" sqref="D1"/>
      <selection pane="bottomLeft" activeCell="A3" sqref="A3"/>
      <selection pane="bottomRight" activeCell="P8" sqref="P8"/>
    </sheetView>
  </sheetViews>
  <sheetFormatPr baseColWidth="10" defaultColWidth="9.140625" defaultRowHeight="15" outlineLevelCol="1" x14ac:dyDescent="0.25"/>
  <cols>
    <col min="1" max="1" width="12.28515625" customWidth="1"/>
    <col min="2" max="2" width="30.85546875" customWidth="1"/>
    <col min="3" max="3" width="9" bestFit="1" customWidth="1"/>
    <col min="4" max="15" width="12.7109375" hidden="1" customWidth="1" outlineLevel="1"/>
    <col min="16" max="16" width="13.85546875" bestFit="1" customWidth="1" collapsed="1"/>
    <col min="17" max="28" width="12.7109375" hidden="1" customWidth="1" outlineLevel="1"/>
    <col min="29" max="29" width="13.85546875" bestFit="1" customWidth="1" collapsed="1"/>
    <col min="30" max="41" width="12.7109375" hidden="1" customWidth="1" outlineLevel="1"/>
    <col min="42" max="42" width="13.85546875" bestFit="1" customWidth="1" collapsed="1"/>
    <col min="43" max="54" width="12.7109375" hidden="1" customWidth="1" outlineLevel="1"/>
    <col min="55" max="55" width="13.85546875" bestFit="1" customWidth="1" collapsed="1"/>
    <col min="56" max="67" width="12.7109375" hidden="1" customWidth="1" outlineLevel="1"/>
    <col min="68" max="68" width="13.85546875" bestFit="1" customWidth="1" collapsed="1"/>
  </cols>
  <sheetData>
    <row r="2" spans="1:68" ht="31.5" x14ac:dyDescent="0.25">
      <c r="A2" s="367" t="s">
        <v>282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  <c r="BL2" s="367"/>
      <c r="BM2" s="367"/>
      <c r="BN2" s="367"/>
      <c r="BO2" s="367"/>
      <c r="BP2" s="367"/>
    </row>
    <row r="3" spans="1:68" ht="15.75" thickBot="1" x14ac:dyDescent="0.3"/>
    <row r="4" spans="1:68" ht="15.75" customHeight="1" thickBot="1" x14ac:dyDescent="0.3">
      <c r="A4" s="188" t="s">
        <v>283</v>
      </c>
      <c r="B4" s="189" t="s">
        <v>284</v>
      </c>
      <c r="C4" s="190" t="s">
        <v>82</v>
      </c>
      <c r="D4" s="191">
        <v>1</v>
      </c>
      <c r="E4" s="192">
        <f>+D4+1</f>
        <v>2</v>
      </c>
      <c r="F4" s="192">
        <f t="shared" ref="F4:O4" si="0">+E4+1</f>
        <v>3</v>
      </c>
      <c r="G4" s="192">
        <f t="shared" si="0"/>
        <v>4</v>
      </c>
      <c r="H4" s="192">
        <f t="shared" si="0"/>
        <v>5</v>
      </c>
      <c r="I4" s="192">
        <f t="shared" si="0"/>
        <v>6</v>
      </c>
      <c r="J4" s="192">
        <f t="shared" si="0"/>
        <v>7</v>
      </c>
      <c r="K4" s="192">
        <f t="shared" si="0"/>
        <v>8</v>
      </c>
      <c r="L4" s="192">
        <f t="shared" si="0"/>
        <v>9</v>
      </c>
      <c r="M4" s="192">
        <f t="shared" si="0"/>
        <v>10</v>
      </c>
      <c r="N4" s="192">
        <f t="shared" si="0"/>
        <v>11</v>
      </c>
      <c r="O4" s="192">
        <f t="shared" si="0"/>
        <v>12</v>
      </c>
      <c r="P4" s="191" t="s">
        <v>97</v>
      </c>
      <c r="Q4" s="191">
        <f>+O4+1</f>
        <v>13</v>
      </c>
      <c r="R4" s="191">
        <f>+Q4+1</f>
        <v>14</v>
      </c>
      <c r="S4" s="191">
        <f t="shared" ref="S4:AB4" si="1">+R4+1</f>
        <v>15</v>
      </c>
      <c r="T4" s="191">
        <f t="shared" si="1"/>
        <v>16</v>
      </c>
      <c r="U4" s="191">
        <f t="shared" si="1"/>
        <v>17</v>
      </c>
      <c r="V4" s="191">
        <f t="shared" si="1"/>
        <v>18</v>
      </c>
      <c r="W4" s="191">
        <f t="shared" si="1"/>
        <v>19</v>
      </c>
      <c r="X4" s="191">
        <f t="shared" si="1"/>
        <v>20</v>
      </c>
      <c r="Y4" s="191">
        <f t="shared" si="1"/>
        <v>21</v>
      </c>
      <c r="Z4" s="191">
        <f t="shared" si="1"/>
        <v>22</v>
      </c>
      <c r="AA4" s="191">
        <f t="shared" si="1"/>
        <v>23</v>
      </c>
      <c r="AB4" s="191">
        <f t="shared" si="1"/>
        <v>24</v>
      </c>
      <c r="AC4" s="192" t="s">
        <v>98</v>
      </c>
      <c r="AD4" s="191">
        <f>+AB4+1</f>
        <v>25</v>
      </c>
      <c r="AE4" s="191">
        <f>+AD4+1</f>
        <v>26</v>
      </c>
      <c r="AF4" s="191">
        <f t="shared" ref="AF4:AO4" si="2">+AE4+1</f>
        <v>27</v>
      </c>
      <c r="AG4" s="191">
        <f t="shared" si="2"/>
        <v>28</v>
      </c>
      <c r="AH4" s="191">
        <f t="shared" si="2"/>
        <v>29</v>
      </c>
      <c r="AI4" s="191">
        <f t="shared" si="2"/>
        <v>30</v>
      </c>
      <c r="AJ4" s="191">
        <f t="shared" si="2"/>
        <v>31</v>
      </c>
      <c r="AK4" s="191">
        <f t="shared" si="2"/>
        <v>32</v>
      </c>
      <c r="AL4" s="191">
        <f t="shared" si="2"/>
        <v>33</v>
      </c>
      <c r="AM4" s="191">
        <f t="shared" si="2"/>
        <v>34</v>
      </c>
      <c r="AN4" s="191">
        <f t="shared" si="2"/>
        <v>35</v>
      </c>
      <c r="AO4" s="191">
        <f t="shared" si="2"/>
        <v>36</v>
      </c>
      <c r="AP4" s="192" t="s">
        <v>99</v>
      </c>
      <c r="AQ4" s="233">
        <f>+AO4+1</f>
        <v>37</v>
      </c>
      <c r="AR4" s="191">
        <f t="shared" ref="AR4:BB4" si="3">+AQ4+1</f>
        <v>38</v>
      </c>
      <c r="AS4" s="191">
        <f t="shared" si="3"/>
        <v>39</v>
      </c>
      <c r="AT4" s="191">
        <f t="shared" si="3"/>
        <v>40</v>
      </c>
      <c r="AU4" s="191">
        <f t="shared" si="3"/>
        <v>41</v>
      </c>
      <c r="AV4" s="191">
        <f t="shared" si="3"/>
        <v>42</v>
      </c>
      <c r="AW4" s="191">
        <f t="shared" si="3"/>
        <v>43</v>
      </c>
      <c r="AX4" s="191">
        <f t="shared" si="3"/>
        <v>44</v>
      </c>
      <c r="AY4" s="191">
        <f t="shared" si="3"/>
        <v>45</v>
      </c>
      <c r="AZ4" s="191">
        <f t="shared" si="3"/>
        <v>46</v>
      </c>
      <c r="BA4" s="191">
        <f t="shared" si="3"/>
        <v>47</v>
      </c>
      <c r="BB4" s="191">
        <f t="shared" si="3"/>
        <v>48</v>
      </c>
      <c r="BC4" s="192" t="s">
        <v>294</v>
      </c>
      <c r="BD4" s="233">
        <f>+BB4+1</f>
        <v>49</v>
      </c>
      <c r="BE4" s="191">
        <f t="shared" ref="BE4:BO4" si="4">+BD4+1</f>
        <v>50</v>
      </c>
      <c r="BF4" s="191">
        <f t="shared" si="4"/>
        <v>51</v>
      </c>
      <c r="BG4" s="191">
        <f t="shared" si="4"/>
        <v>52</v>
      </c>
      <c r="BH4" s="191">
        <f t="shared" si="4"/>
        <v>53</v>
      </c>
      <c r="BI4" s="191">
        <f t="shared" si="4"/>
        <v>54</v>
      </c>
      <c r="BJ4" s="191">
        <f t="shared" si="4"/>
        <v>55</v>
      </c>
      <c r="BK4" s="191">
        <f t="shared" si="4"/>
        <v>56</v>
      </c>
      <c r="BL4" s="191">
        <f t="shared" si="4"/>
        <v>57</v>
      </c>
      <c r="BM4" s="191">
        <f t="shared" si="4"/>
        <v>58</v>
      </c>
      <c r="BN4" s="191">
        <f t="shared" si="4"/>
        <v>59</v>
      </c>
      <c r="BO4" s="191">
        <f t="shared" si="4"/>
        <v>60</v>
      </c>
      <c r="BP4" s="193" t="s">
        <v>295</v>
      </c>
    </row>
    <row r="5" spans="1:68" ht="15" customHeight="1" x14ac:dyDescent="0.25">
      <c r="A5" s="370" t="s">
        <v>204</v>
      </c>
      <c r="B5" s="135" t="s">
        <v>136</v>
      </c>
      <c r="C5" s="136">
        <v>0</v>
      </c>
      <c r="D5" s="128">
        <v>4000000</v>
      </c>
      <c r="E5" s="128">
        <f>+D5</f>
        <v>4000000</v>
      </c>
      <c r="F5" s="128">
        <f t="shared" ref="F5:O8" si="5">+E5</f>
        <v>4000000</v>
      </c>
      <c r="G5" s="128">
        <f t="shared" si="5"/>
        <v>4000000</v>
      </c>
      <c r="H5" s="128">
        <f t="shared" si="5"/>
        <v>4000000</v>
      </c>
      <c r="I5" s="128">
        <f t="shared" si="5"/>
        <v>4000000</v>
      </c>
      <c r="J5" s="128">
        <f t="shared" si="5"/>
        <v>4000000</v>
      </c>
      <c r="K5" s="128">
        <f t="shared" si="5"/>
        <v>4000000</v>
      </c>
      <c r="L5" s="128">
        <f t="shared" si="5"/>
        <v>4000000</v>
      </c>
      <c r="M5" s="128">
        <f t="shared" si="5"/>
        <v>4000000</v>
      </c>
      <c r="N5" s="128">
        <f t="shared" si="5"/>
        <v>4000000</v>
      </c>
      <c r="O5" s="128">
        <f t="shared" si="5"/>
        <v>4000000</v>
      </c>
      <c r="P5" s="128">
        <f>+O5</f>
        <v>4000000</v>
      </c>
      <c r="Q5" s="137">
        <v>5000000</v>
      </c>
      <c r="R5" s="137">
        <f>+Q5</f>
        <v>5000000</v>
      </c>
      <c r="S5" s="137">
        <f t="shared" ref="S5:AB8" si="6">+R5</f>
        <v>5000000</v>
      </c>
      <c r="T5" s="137">
        <f t="shared" si="6"/>
        <v>5000000</v>
      </c>
      <c r="U5" s="137">
        <f t="shared" si="6"/>
        <v>5000000</v>
      </c>
      <c r="V5" s="137">
        <f t="shared" si="6"/>
        <v>5000000</v>
      </c>
      <c r="W5" s="137">
        <f t="shared" si="6"/>
        <v>5000000</v>
      </c>
      <c r="X5" s="137">
        <f t="shared" si="6"/>
        <v>5000000</v>
      </c>
      <c r="Y5" s="137">
        <f t="shared" si="6"/>
        <v>5000000</v>
      </c>
      <c r="Z5" s="137">
        <f t="shared" si="6"/>
        <v>5000000</v>
      </c>
      <c r="AA5" s="137">
        <f t="shared" si="6"/>
        <v>5000000</v>
      </c>
      <c r="AB5" s="137">
        <f t="shared" si="6"/>
        <v>5000000</v>
      </c>
      <c r="AC5" s="128">
        <f>SUM(Q5:AB5)</f>
        <v>60000000</v>
      </c>
      <c r="AD5" s="137">
        <v>6000000</v>
      </c>
      <c r="AE5" s="137">
        <f>+AD5</f>
        <v>6000000</v>
      </c>
      <c r="AF5" s="137">
        <f t="shared" ref="AF5:AO8" si="7">+AE5</f>
        <v>6000000</v>
      </c>
      <c r="AG5" s="137">
        <f t="shared" si="7"/>
        <v>6000000</v>
      </c>
      <c r="AH5" s="137">
        <f t="shared" si="7"/>
        <v>6000000</v>
      </c>
      <c r="AI5" s="137">
        <f t="shared" si="7"/>
        <v>6000000</v>
      </c>
      <c r="AJ5" s="137">
        <f t="shared" si="7"/>
        <v>6000000</v>
      </c>
      <c r="AK5" s="137">
        <f t="shared" si="7"/>
        <v>6000000</v>
      </c>
      <c r="AL5" s="137">
        <f t="shared" si="7"/>
        <v>6000000</v>
      </c>
      <c r="AM5" s="137">
        <f t="shared" si="7"/>
        <v>6000000</v>
      </c>
      <c r="AN5" s="137">
        <f t="shared" si="7"/>
        <v>6000000</v>
      </c>
      <c r="AO5" s="137">
        <f t="shared" si="7"/>
        <v>6000000</v>
      </c>
      <c r="AP5" s="128">
        <f>SUM(AD5:AO5)</f>
        <v>72000000</v>
      </c>
      <c r="AQ5" s="234">
        <v>6500000</v>
      </c>
      <c r="AR5" s="137">
        <f t="shared" ref="AR5:BB8" si="8">+AQ5</f>
        <v>6500000</v>
      </c>
      <c r="AS5" s="137">
        <f t="shared" si="8"/>
        <v>6500000</v>
      </c>
      <c r="AT5" s="137">
        <f t="shared" si="8"/>
        <v>6500000</v>
      </c>
      <c r="AU5" s="137">
        <f t="shared" si="8"/>
        <v>6500000</v>
      </c>
      <c r="AV5" s="137">
        <f t="shared" si="8"/>
        <v>6500000</v>
      </c>
      <c r="AW5" s="137">
        <f t="shared" si="8"/>
        <v>6500000</v>
      </c>
      <c r="AX5" s="137">
        <f t="shared" si="8"/>
        <v>6500000</v>
      </c>
      <c r="AY5" s="137">
        <f t="shared" si="8"/>
        <v>6500000</v>
      </c>
      <c r="AZ5" s="137">
        <f t="shared" si="8"/>
        <v>6500000</v>
      </c>
      <c r="BA5" s="137">
        <f t="shared" si="8"/>
        <v>6500000</v>
      </c>
      <c r="BB5" s="137">
        <f t="shared" si="8"/>
        <v>6500000</v>
      </c>
      <c r="BC5" s="128">
        <f>SUM(AQ5:BB5)</f>
        <v>78000000</v>
      </c>
      <c r="BD5" s="234">
        <v>7000000</v>
      </c>
      <c r="BE5" s="137">
        <f t="shared" ref="BE5:BO8" si="9">+BD5</f>
        <v>7000000</v>
      </c>
      <c r="BF5" s="137">
        <f t="shared" si="9"/>
        <v>7000000</v>
      </c>
      <c r="BG5" s="137">
        <f t="shared" si="9"/>
        <v>7000000</v>
      </c>
      <c r="BH5" s="137">
        <f t="shared" si="9"/>
        <v>7000000</v>
      </c>
      <c r="BI5" s="137">
        <f t="shared" si="9"/>
        <v>7000000</v>
      </c>
      <c r="BJ5" s="137">
        <f t="shared" si="9"/>
        <v>7000000</v>
      </c>
      <c r="BK5" s="137">
        <f t="shared" si="9"/>
        <v>7000000</v>
      </c>
      <c r="BL5" s="137">
        <f t="shared" si="9"/>
        <v>7000000</v>
      </c>
      <c r="BM5" s="137">
        <f t="shared" si="9"/>
        <v>7000000</v>
      </c>
      <c r="BN5" s="137">
        <f t="shared" si="9"/>
        <v>7000000</v>
      </c>
      <c r="BO5" s="137">
        <f t="shared" si="9"/>
        <v>7000000</v>
      </c>
      <c r="BP5" s="129">
        <f>SUM(BD5:BO5)</f>
        <v>84000000</v>
      </c>
    </row>
    <row r="6" spans="1:68" x14ac:dyDescent="0.25">
      <c r="A6" s="371"/>
      <c r="B6" s="73" t="s">
        <v>137</v>
      </c>
      <c r="C6" s="95">
        <v>0</v>
      </c>
      <c r="D6" s="59">
        <v>600000</v>
      </c>
      <c r="E6" s="59">
        <f>+D6</f>
        <v>600000</v>
      </c>
      <c r="F6" s="59">
        <f t="shared" si="5"/>
        <v>600000</v>
      </c>
      <c r="G6" s="59">
        <f t="shared" si="5"/>
        <v>600000</v>
      </c>
      <c r="H6" s="59">
        <f t="shared" si="5"/>
        <v>600000</v>
      </c>
      <c r="I6" s="59">
        <f t="shared" si="5"/>
        <v>600000</v>
      </c>
      <c r="J6" s="59">
        <f t="shared" si="5"/>
        <v>600000</v>
      </c>
      <c r="K6" s="59">
        <f t="shared" si="5"/>
        <v>600000</v>
      </c>
      <c r="L6" s="59">
        <f t="shared" si="5"/>
        <v>600000</v>
      </c>
      <c r="M6" s="59">
        <f t="shared" si="5"/>
        <v>600000</v>
      </c>
      <c r="N6" s="59">
        <f t="shared" si="5"/>
        <v>600000</v>
      </c>
      <c r="O6" s="59">
        <f t="shared" si="5"/>
        <v>600000</v>
      </c>
      <c r="P6" s="59">
        <f t="shared" ref="P6:P8" si="10">+O6</f>
        <v>600000</v>
      </c>
      <c r="Q6" s="89">
        <v>700000</v>
      </c>
      <c r="R6" s="89">
        <f>+Q6</f>
        <v>700000</v>
      </c>
      <c r="S6" s="89">
        <f t="shared" si="6"/>
        <v>700000</v>
      </c>
      <c r="T6" s="89">
        <f t="shared" si="6"/>
        <v>700000</v>
      </c>
      <c r="U6" s="89">
        <f t="shared" si="6"/>
        <v>700000</v>
      </c>
      <c r="V6" s="89">
        <f t="shared" si="6"/>
        <v>700000</v>
      </c>
      <c r="W6" s="89">
        <f t="shared" si="6"/>
        <v>700000</v>
      </c>
      <c r="X6" s="89">
        <f t="shared" si="6"/>
        <v>700000</v>
      </c>
      <c r="Y6" s="89">
        <f t="shared" si="6"/>
        <v>700000</v>
      </c>
      <c r="Z6" s="89">
        <f t="shared" si="6"/>
        <v>700000</v>
      </c>
      <c r="AA6" s="89">
        <f t="shared" si="6"/>
        <v>700000</v>
      </c>
      <c r="AB6" s="89">
        <f t="shared" si="6"/>
        <v>700000</v>
      </c>
      <c r="AC6" s="59">
        <f>SUM(Q6:AB6)</f>
        <v>8400000</v>
      </c>
      <c r="AD6" s="89">
        <v>750000</v>
      </c>
      <c r="AE6" s="89">
        <f>+AD6</f>
        <v>750000</v>
      </c>
      <c r="AF6" s="89">
        <f t="shared" si="7"/>
        <v>750000</v>
      </c>
      <c r="AG6" s="89">
        <f t="shared" si="7"/>
        <v>750000</v>
      </c>
      <c r="AH6" s="89">
        <f t="shared" si="7"/>
        <v>750000</v>
      </c>
      <c r="AI6" s="89">
        <f t="shared" si="7"/>
        <v>750000</v>
      </c>
      <c r="AJ6" s="89">
        <f t="shared" si="7"/>
        <v>750000</v>
      </c>
      <c r="AK6" s="89">
        <f t="shared" si="7"/>
        <v>750000</v>
      </c>
      <c r="AL6" s="89">
        <f t="shared" si="7"/>
        <v>750000</v>
      </c>
      <c r="AM6" s="89">
        <f t="shared" si="7"/>
        <v>750000</v>
      </c>
      <c r="AN6" s="89">
        <f t="shared" si="7"/>
        <v>750000</v>
      </c>
      <c r="AO6" s="89">
        <f t="shared" si="7"/>
        <v>750000</v>
      </c>
      <c r="AP6" s="59">
        <f>SUM(AD6:AO6)</f>
        <v>9000000</v>
      </c>
      <c r="AQ6" s="235">
        <v>750000</v>
      </c>
      <c r="AR6" s="89">
        <f t="shared" si="8"/>
        <v>750000</v>
      </c>
      <c r="AS6" s="89">
        <f t="shared" si="8"/>
        <v>750000</v>
      </c>
      <c r="AT6" s="89">
        <f t="shared" si="8"/>
        <v>750000</v>
      </c>
      <c r="AU6" s="89">
        <f t="shared" si="8"/>
        <v>750000</v>
      </c>
      <c r="AV6" s="89">
        <f t="shared" si="8"/>
        <v>750000</v>
      </c>
      <c r="AW6" s="89">
        <f t="shared" si="8"/>
        <v>750000</v>
      </c>
      <c r="AX6" s="89">
        <f t="shared" si="8"/>
        <v>750000</v>
      </c>
      <c r="AY6" s="89">
        <f t="shared" si="8"/>
        <v>750000</v>
      </c>
      <c r="AZ6" s="89">
        <f t="shared" si="8"/>
        <v>750000</v>
      </c>
      <c r="BA6" s="89">
        <f t="shared" si="8"/>
        <v>750000</v>
      </c>
      <c r="BB6" s="89">
        <f t="shared" si="8"/>
        <v>750000</v>
      </c>
      <c r="BC6" s="59">
        <f>SUM(AQ6:BB6)</f>
        <v>9000000</v>
      </c>
      <c r="BD6" s="235">
        <v>750000</v>
      </c>
      <c r="BE6" s="89">
        <f t="shared" si="9"/>
        <v>750000</v>
      </c>
      <c r="BF6" s="89">
        <f t="shared" si="9"/>
        <v>750000</v>
      </c>
      <c r="BG6" s="89">
        <f t="shared" si="9"/>
        <v>750000</v>
      </c>
      <c r="BH6" s="89">
        <f t="shared" si="9"/>
        <v>750000</v>
      </c>
      <c r="BI6" s="89">
        <f t="shared" si="9"/>
        <v>750000</v>
      </c>
      <c r="BJ6" s="89">
        <f t="shared" si="9"/>
        <v>750000</v>
      </c>
      <c r="BK6" s="89">
        <f t="shared" si="9"/>
        <v>750000</v>
      </c>
      <c r="BL6" s="89">
        <f t="shared" si="9"/>
        <v>750000</v>
      </c>
      <c r="BM6" s="89">
        <f t="shared" si="9"/>
        <v>750000</v>
      </c>
      <c r="BN6" s="89">
        <f t="shared" si="9"/>
        <v>750000</v>
      </c>
      <c r="BO6" s="89">
        <f t="shared" si="9"/>
        <v>750000</v>
      </c>
      <c r="BP6" s="90">
        <f>SUM(BD6:BO6)</f>
        <v>9000000</v>
      </c>
    </row>
    <row r="7" spans="1:68" x14ac:dyDescent="0.25">
      <c r="A7" s="371"/>
      <c r="B7" s="73" t="s">
        <v>135</v>
      </c>
      <c r="C7" s="95">
        <v>0</v>
      </c>
      <c r="D7" s="59">
        <v>800000</v>
      </c>
      <c r="E7" s="59">
        <f>+D7</f>
        <v>800000</v>
      </c>
      <c r="F7" s="59">
        <f t="shared" si="5"/>
        <v>800000</v>
      </c>
      <c r="G7" s="59">
        <f t="shared" si="5"/>
        <v>800000</v>
      </c>
      <c r="H7" s="59">
        <f t="shared" si="5"/>
        <v>800000</v>
      </c>
      <c r="I7" s="59">
        <f t="shared" si="5"/>
        <v>800000</v>
      </c>
      <c r="J7" s="59">
        <f t="shared" si="5"/>
        <v>800000</v>
      </c>
      <c r="K7" s="59">
        <f t="shared" si="5"/>
        <v>800000</v>
      </c>
      <c r="L7" s="59">
        <f t="shared" si="5"/>
        <v>800000</v>
      </c>
      <c r="M7" s="59">
        <f t="shared" si="5"/>
        <v>800000</v>
      </c>
      <c r="N7" s="59">
        <f t="shared" si="5"/>
        <v>800000</v>
      </c>
      <c r="O7" s="59">
        <f t="shared" si="5"/>
        <v>800000</v>
      </c>
      <c r="P7" s="59">
        <f t="shared" si="10"/>
        <v>800000</v>
      </c>
      <c r="Q7" s="89">
        <v>1000000</v>
      </c>
      <c r="R7" s="89">
        <f>+Q7</f>
        <v>1000000</v>
      </c>
      <c r="S7" s="89">
        <f t="shared" si="6"/>
        <v>1000000</v>
      </c>
      <c r="T7" s="89">
        <f t="shared" si="6"/>
        <v>1000000</v>
      </c>
      <c r="U7" s="89">
        <f t="shared" si="6"/>
        <v>1000000</v>
      </c>
      <c r="V7" s="89">
        <f t="shared" si="6"/>
        <v>1000000</v>
      </c>
      <c r="W7" s="89">
        <f t="shared" si="6"/>
        <v>1000000</v>
      </c>
      <c r="X7" s="89">
        <f t="shared" si="6"/>
        <v>1000000</v>
      </c>
      <c r="Y7" s="89">
        <f t="shared" si="6"/>
        <v>1000000</v>
      </c>
      <c r="Z7" s="89">
        <f t="shared" si="6"/>
        <v>1000000</v>
      </c>
      <c r="AA7" s="89">
        <f t="shared" si="6"/>
        <v>1000000</v>
      </c>
      <c r="AB7" s="89">
        <f t="shared" si="6"/>
        <v>1000000</v>
      </c>
      <c r="AC7" s="59">
        <f>SUM(Q7:AB7)</f>
        <v>12000000</v>
      </c>
      <c r="AD7" s="89">
        <v>1200000</v>
      </c>
      <c r="AE7" s="89">
        <f>+AD7</f>
        <v>1200000</v>
      </c>
      <c r="AF7" s="89">
        <f t="shared" si="7"/>
        <v>1200000</v>
      </c>
      <c r="AG7" s="89">
        <f t="shared" si="7"/>
        <v>1200000</v>
      </c>
      <c r="AH7" s="89">
        <f t="shared" si="7"/>
        <v>1200000</v>
      </c>
      <c r="AI7" s="89">
        <f t="shared" si="7"/>
        <v>1200000</v>
      </c>
      <c r="AJ7" s="89">
        <f t="shared" si="7"/>
        <v>1200000</v>
      </c>
      <c r="AK7" s="89">
        <f t="shared" si="7"/>
        <v>1200000</v>
      </c>
      <c r="AL7" s="89">
        <f t="shared" si="7"/>
        <v>1200000</v>
      </c>
      <c r="AM7" s="89">
        <f t="shared" si="7"/>
        <v>1200000</v>
      </c>
      <c r="AN7" s="89">
        <f t="shared" si="7"/>
        <v>1200000</v>
      </c>
      <c r="AO7" s="89">
        <f t="shared" si="7"/>
        <v>1200000</v>
      </c>
      <c r="AP7" s="59">
        <f>SUM(AD7:AO7)</f>
        <v>14400000</v>
      </c>
      <c r="AQ7" s="235">
        <v>1200000</v>
      </c>
      <c r="AR7" s="89">
        <f t="shared" si="8"/>
        <v>1200000</v>
      </c>
      <c r="AS7" s="89">
        <f t="shared" si="8"/>
        <v>1200000</v>
      </c>
      <c r="AT7" s="89">
        <f t="shared" si="8"/>
        <v>1200000</v>
      </c>
      <c r="AU7" s="89">
        <f t="shared" si="8"/>
        <v>1200000</v>
      </c>
      <c r="AV7" s="89">
        <f t="shared" si="8"/>
        <v>1200000</v>
      </c>
      <c r="AW7" s="89">
        <f t="shared" si="8"/>
        <v>1200000</v>
      </c>
      <c r="AX7" s="89">
        <f t="shared" si="8"/>
        <v>1200000</v>
      </c>
      <c r="AY7" s="89">
        <f t="shared" si="8"/>
        <v>1200000</v>
      </c>
      <c r="AZ7" s="89">
        <f t="shared" si="8"/>
        <v>1200000</v>
      </c>
      <c r="BA7" s="89">
        <f t="shared" si="8"/>
        <v>1200000</v>
      </c>
      <c r="BB7" s="89">
        <f t="shared" si="8"/>
        <v>1200000</v>
      </c>
      <c r="BC7" s="59">
        <f>SUM(AQ7:BB7)</f>
        <v>14400000</v>
      </c>
      <c r="BD7" s="235">
        <v>1200000</v>
      </c>
      <c r="BE7" s="89">
        <f t="shared" si="9"/>
        <v>1200000</v>
      </c>
      <c r="BF7" s="89">
        <f t="shared" si="9"/>
        <v>1200000</v>
      </c>
      <c r="BG7" s="89">
        <f t="shared" si="9"/>
        <v>1200000</v>
      </c>
      <c r="BH7" s="89">
        <f t="shared" si="9"/>
        <v>1200000</v>
      </c>
      <c r="BI7" s="89">
        <f t="shared" si="9"/>
        <v>1200000</v>
      </c>
      <c r="BJ7" s="89">
        <f t="shared" si="9"/>
        <v>1200000</v>
      </c>
      <c r="BK7" s="89">
        <f t="shared" si="9"/>
        <v>1200000</v>
      </c>
      <c r="BL7" s="89">
        <f t="shared" si="9"/>
        <v>1200000</v>
      </c>
      <c r="BM7" s="89">
        <f t="shared" si="9"/>
        <v>1200000</v>
      </c>
      <c r="BN7" s="89">
        <f t="shared" si="9"/>
        <v>1200000</v>
      </c>
      <c r="BO7" s="89">
        <f t="shared" si="9"/>
        <v>1200000</v>
      </c>
      <c r="BP7" s="90">
        <f>SUM(BD7:BO7)</f>
        <v>14400000</v>
      </c>
    </row>
    <row r="8" spans="1:68" x14ac:dyDescent="0.25">
      <c r="A8" s="371"/>
      <c r="B8" s="73" t="s">
        <v>237</v>
      </c>
      <c r="C8" s="95">
        <v>0</v>
      </c>
      <c r="D8" s="59">
        <v>566700</v>
      </c>
      <c r="E8" s="59">
        <f>+D8</f>
        <v>566700</v>
      </c>
      <c r="F8" s="59">
        <f t="shared" si="5"/>
        <v>566700</v>
      </c>
      <c r="G8" s="59">
        <f t="shared" si="5"/>
        <v>566700</v>
      </c>
      <c r="H8" s="59">
        <f t="shared" si="5"/>
        <v>566700</v>
      </c>
      <c r="I8" s="59">
        <f t="shared" si="5"/>
        <v>566700</v>
      </c>
      <c r="J8" s="59">
        <f t="shared" si="5"/>
        <v>566700</v>
      </c>
      <c r="K8" s="59">
        <f t="shared" si="5"/>
        <v>566700</v>
      </c>
      <c r="L8" s="59">
        <f t="shared" si="5"/>
        <v>566700</v>
      </c>
      <c r="M8" s="59">
        <f t="shared" si="5"/>
        <v>566700</v>
      </c>
      <c r="N8" s="59">
        <f t="shared" si="5"/>
        <v>566700</v>
      </c>
      <c r="O8" s="59">
        <f t="shared" si="5"/>
        <v>566700</v>
      </c>
      <c r="P8" s="59">
        <f t="shared" si="10"/>
        <v>566700</v>
      </c>
      <c r="Q8" s="89">
        <v>650000</v>
      </c>
      <c r="R8" s="89">
        <f>+Q8</f>
        <v>650000</v>
      </c>
      <c r="S8" s="89">
        <f t="shared" si="6"/>
        <v>650000</v>
      </c>
      <c r="T8" s="89">
        <f t="shared" si="6"/>
        <v>650000</v>
      </c>
      <c r="U8" s="89">
        <f t="shared" si="6"/>
        <v>650000</v>
      </c>
      <c r="V8" s="89">
        <f t="shared" si="6"/>
        <v>650000</v>
      </c>
      <c r="W8" s="89">
        <f t="shared" si="6"/>
        <v>650000</v>
      </c>
      <c r="X8" s="89">
        <f t="shared" si="6"/>
        <v>650000</v>
      </c>
      <c r="Y8" s="89">
        <f t="shared" si="6"/>
        <v>650000</v>
      </c>
      <c r="Z8" s="89">
        <f t="shared" si="6"/>
        <v>650000</v>
      </c>
      <c r="AA8" s="89">
        <f t="shared" si="6"/>
        <v>650000</v>
      </c>
      <c r="AB8" s="89">
        <f t="shared" si="6"/>
        <v>650000</v>
      </c>
      <c r="AC8" s="59">
        <f>SUM(Q8:AB8)</f>
        <v>7800000</v>
      </c>
      <c r="AD8" s="89">
        <v>700000</v>
      </c>
      <c r="AE8" s="89">
        <f>+AD8</f>
        <v>700000</v>
      </c>
      <c r="AF8" s="89">
        <f t="shared" si="7"/>
        <v>700000</v>
      </c>
      <c r="AG8" s="89">
        <f t="shared" si="7"/>
        <v>700000</v>
      </c>
      <c r="AH8" s="89">
        <f t="shared" si="7"/>
        <v>700000</v>
      </c>
      <c r="AI8" s="89">
        <f t="shared" si="7"/>
        <v>700000</v>
      </c>
      <c r="AJ8" s="89">
        <f t="shared" si="7"/>
        <v>700000</v>
      </c>
      <c r="AK8" s="89">
        <f t="shared" si="7"/>
        <v>700000</v>
      </c>
      <c r="AL8" s="89">
        <f t="shared" si="7"/>
        <v>700000</v>
      </c>
      <c r="AM8" s="89">
        <f t="shared" si="7"/>
        <v>700000</v>
      </c>
      <c r="AN8" s="89">
        <f t="shared" si="7"/>
        <v>700000</v>
      </c>
      <c r="AO8" s="89">
        <f t="shared" si="7"/>
        <v>700000</v>
      </c>
      <c r="AP8" s="59">
        <f>SUM(AD8:AO8)</f>
        <v>8400000</v>
      </c>
      <c r="AQ8" s="235">
        <v>700000</v>
      </c>
      <c r="AR8" s="89">
        <f t="shared" si="8"/>
        <v>700000</v>
      </c>
      <c r="AS8" s="89">
        <f t="shared" si="8"/>
        <v>700000</v>
      </c>
      <c r="AT8" s="89">
        <f t="shared" si="8"/>
        <v>700000</v>
      </c>
      <c r="AU8" s="89">
        <f t="shared" si="8"/>
        <v>700000</v>
      </c>
      <c r="AV8" s="89">
        <f t="shared" si="8"/>
        <v>700000</v>
      </c>
      <c r="AW8" s="89">
        <f t="shared" si="8"/>
        <v>700000</v>
      </c>
      <c r="AX8" s="89">
        <f t="shared" si="8"/>
        <v>700000</v>
      </c>
      <c r="AY8" s="89">
        <f t="shared" si="8"/>
        <v>700000</v>
      </c>
      <c r="AZ8" s="89">
        <f t="shared" si="8"/>
        <v>700000</v>
      </c>
      <c r="BA8" s="89">
        <f t="shared" si="8"/>
        <v>700000</v>
      </c>
      <c r="BB8" s="89">
        <f t="shared" si="8"/>
        <v>700000</v>
      </c>
      <c r="BC8" s="59">
        <f>SUM(AQ8:BB8)</f>
        <v>8400000</v>
      </c>
      <c r="BD8" s="235">
        <v>700000</v>
      </c>
      <c r="BE8" s="89">
        <f t="shared" si="9"/>
        <v>700000</v>
      </c>
      <c r="BF8" s="89">
        <f t="shared" si="9"/>
        <v>700000</v>
      </c>
      <c r="BG8" s="89">
        <f t="shared" si="9"/>
        <v>700000</v>
      </c>
      <c r="BH8" s="89">
        <f t="shared" si="9"/>
        <v>700000</v>
      </c>
      <c r="BI8" s="89">
        <f t="shared" si="9"/>
        <v>700000</v>
      </c>
      <c r="BJ8" s="89">
        <f t="shared" si="9"/>
        <v>700000</v>
      </c>
      <c r="BK8" s="89">
        <f t="shared" si="9"/>
        <v>700000</v>
      </c>
      <c r="BL8" s="89">
        <f t="shared" si="9"/>
        <v>700000</v>
      </c>
      <c r="BM8" s="89">
        <f t="shared" si="9"/>
        <v>700000</v>
      </c>
      <c r="BN8" s="89">
        <f t="shared" si="9"/>
        <v>700000</v>
      </c>
      <c r="BO8" s="89">
        <f t="shared" si="9"/>
        <v>700000</v>
      </c>
      <c r="BP8" s="90">
        <f>SUM(BD8:BO8)</f>
        <v>8400000</v>
      </c>
    </row>
    <row r="9" spans="1:68" x14ac:dyDescent="0.25">
      <c r="A9" s="371"/>
      <c r="B9" s="73" t="s">
        <v>134</v>
      </c>
      <c r="C9" s="95">
        <v>0</v>
      </c>
      <c r="D9" s="59">
        <f>+'VEHICULOS '!D6</f>
        <v>2</v>
      </c>
      <c r="E9" s="59">
        <f>+'VEHICULOS '!E6</f>
        <v>2</v>
      </c>
      <c r="F9" s="59">
        <f>+'VEHICULOS '!F6</f>
        <v>2</v>
      </c>
      <c r="G9" s="59">
        <f>+'VEHICULOS '!G6</f>
        <v>2</v>
      </c>
      <c r="H9" s="59">
        <f>+'VEHICULOS '!H6</f>
        <v>2</v>
      </c>
      <c r="I9" s="59">
        <f>+'VEHICULOS '!I6</f>
        <v>2</v>
      </c>
      <c r="J9" s="59">
        <f>+'VEHICULOS '!J6</f>
        <v>4</v>
      </c>
      <c r="K9" s="59">
        <f>+'VEHICULOS '!K6</f>
        <v>4</v>
      </c>
      <c r="L9" s="59">
        <f>+'VEHICULOS '!L6</f>
        <v>4</v>
      </c>
      <c r="M9" s="59">
        <f>+'VEHICULOS '!M6</f>
        <v>4</v>
      </c>
      <c r="N9" s="59">
        <f>+'VEHICULOS '!N6</f>
        <v>4</v>
      </c>
      <c r="O9" s="59">
        <f>+'VEHICULOS '!O6</f>
        <v>4</v>
      </c>
      <c r="P9" s="59">
        <f>+O9</f>
        <v>4</v>
      </c>
      <c r="Q9" s="88">
        <f>+'VEHICULOS '!Q6</f>
        <v>4</v>
      </c>
      <c r="R9" s="88">
        <f>+'VEHICULOS '!R6</f>
        <v>4</v>
      </c>
      <c r="S9" s="88">
        <f>+'VEHICULOS '!S6</f>
        <v>4</v>
      </c>
      <c r="T9" s="88">
        <f>+'VEHICULOS '!T6</f>
        <v>4</v>
      </c>
      <c r="U9" s="88">
        <f>+'VEHICULOS '!U6</f>
        <v>4</v>
      </c>
      <c r="V9" s="88">
        <f>+'VEHICULOS '!V6</f>
        <v>4</v>
      </c>
      <c r="W9" s="88">
        <f>+'VEHICULOS '!W6</f>
        <v>6</v>
      </c>
      <c r="X9" s="88">
        <f>+'VEHICULOS '!X6</f>
        <v>6</v>
      </c>
      <c r="Y9" s="88">
        <f>+'VEHICULOS '!Y6</f>
        <v>6</v>
      </c>
      <c r="Z9" s="88">
        <f>+'VEHICULOS '!Z6</f>
        <v>6</v>
      </c>
      <c r="AA9" s="88">
        <f>+'VEHICULOS '!AA6</f>
        <v>6</v>
      </c>
      <c r="AB9" s="88">
        <f>+'VEHICULOS '!AB6</f>
        <v>6</v>
      </c>
      <c r="AC9" s="59">
        <f>+AB9</f>
        <v>6</v>
      </c>
      <c r="AD9" s="88">
        <f>+'VEHICULOS '!AD6</f>
        <v>6</v>
      </c>
      <c r="AE9" s="88">
        <f>+'VEHICULOS '!AE6</f>
        <v>6</v>
      </c>
      <c r="AF9" s="88">
        <f>+'VEHICULOS '!AF6</f>
        <v>6</v>
      </c>
      <c r="AG9" s="88">
        <f>+'VEHICULOS '!AG6</f>
        <v>6</v>
      </c>
      <c r="AH9" s="88">
        <f>+'VEHICULOS '!AH6</f>
        <v>6</v>
      </c>
      <c r="AI9" s="88">
        <f>+'VEHICULOS '!AI6</f>
        <v>6</v>
      </c>
      <c r="AJ9" s="88">
        <f>+'VEHICULOS '!AJ6</f>
        <v>6</v>
      </c>
      <c r="AK9" s="88">
        <f>+'VEHICULOS '!AK6</f>
        <v>6</v>
      </c>
      <c r="AL9" s="88">
        <f>+'VEHICULOS '!AL6</f>
        <v>6</v>
      </c>
      <c r="AM9" s="88">
        <f>+'VEHICULOS '!AM6</f>
        <v>6</v>
      </c>
      <c r="AN9" s="88">
        <f>+'VEHICULOS '!AN6</f>
        <v>6</v>
      </c>
      <c r="AO9" s="88">
        <f>+'VEHICULOS '!AO6</f>
        <v>6</v>
      </c>
      <c r="AP9" s="59">
        <f>+AO9</f>
        <v>6</v>
      </c>
      <c r="AQ9" s="236">
        <f>+'VEHICULOS '!AQ6</f>
        <v>6</v>
      </c>
      <c r="AR9" s="88">
        <f>+'VEHICULOS '!AR6</f>
        <v>6</v>
      </c>
      <c r="AS9" s="88">
        <f>+'VEHICULOS '!AS6</f>
        <v>6</v>
      </c>
      <c r="AT9" s="88">
        <f>+'VEHICULOS '!AT6</f>
        <v>6</v>
      </c>
      <c r="AU9" s="88">
        <f>+'VEHICULOS '!AU6</f>
        <v>6</v>
      </c>
      <c r="AV9" s="88">
        <f>+'VEHICULOS '!AV6</f>
        <v>6</v>
      </c>
      <c r="AW9" s="88">
        <f>+'VEHICULOS '!AW6</f>
        <v>6</v>
      </c>
      <c r="AX9" s="88">
        <f>+'VEHICULOS '!AX6</f>
        <v>6</v>
      </c>
      <c r="AY9" s="88">
        <f>+'VEHICULOS '!AY6</f>
        <v>6</v>
      </c>
      <c r="AZ9" s="88">
        <f>+'VEHICULOS '!AZ6</f>
        <v>6</v>
      </c>
      <c r="BA9" s="88">
        <f>+'VEHICULOS '!BA6</f>
        <v>6</v>
      </c>
      <c r="BB9" s="88">
        <f>+'VEHICULOS '!BB6</f>
        <v>6</v>
      </c>
      <c r="BC9" s="59">
        <f>+BB9</f>
        <v>6</v>
      </c>
      <c r="BD9" s="236">
        <f>+'VEHICULOS '!BD6</f>
        <v>6</v>
      </c>
      <c r="BE9" s="88">
        <f>+'VEHICULOS '!BE6</f>
        <v>6</v>
      </c>
      <c r="BF9" s="88">
        <f>+'VEHICULOS '!BF6</f>
        <v>6</v>
      </c>
      <c r="BG9" s="88">
        <f>+'VEHICULOS '!BG6</f>
        <v>6</v>
      </c>
      <c r="BH9" s="88">
        <f>+'VEHICULOS '!BH6</f>
        <v>6</v>
      </c>
      <c r="BI9" s="88">
        <f>+'VEHICULOS '!BI6</f>
        <v>6</v>
      </c>
      <c r="BJ9" s="88">
        <f>+'VEHICULOS '!BJ6</f>
        <v>6</v>
      </c>
      <c r="BK9" s="88">
        <f>+'VEHICULOS '!BK6</f>
        <v>6</v>
      </c>
      <c r="BL9" s="88">
        <f>+'VEHICULOS '!BL6</f>
        <v>6</v>
      </c>
      <c r="BM9" s="88">
        <f>+'VEHICULOS '!BM6</f>
        <v>6</v>
      </c>
      <c r="BN9" s="88">
        <f>+'VEHICULOS '!BN6</f>
        <v>6</v>
      </c>
      <c r="BO9" s="88">
        <f>+'VEHICULOS '!BO6</f>
        <v>6</v>
      </c>
      <c r="BP9" s="90">
        <f>+BO9</f>
        <v>6</v>
      </c>
    </row>
    <row r="10" spans="1:68" x14ac:dyDescent="0.25">
      <c r="A10" s="371"/>
      <c r="B10" s="73" t="s">
        <v>102</v>
      </c>
      <c r="C10" s="94">
        <v>0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62">
        <v>0.04</v>
      </c>
      <c r="P10" s="91">
        <f>+O10</f>
        <v>0.04</v>
      </c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62">
        <v>0.04</v>
      </c>
      <c r="AC10" s="91">
        <f>+AB10</f>
        <v>0.04</v>
      </c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62">
        <v>0.04</v>
      </c>
      <c r="AP10" s="91">
        <f>+AO10</f>
        <v>0.04</v>
      </c>
      <c r="AQ10" s="236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62">
        <v>0.04</v>
      </c>
      <c r="BC10" s="91">
        <f>+BB10</f>
        <v>0.04</v>
      </c>
      <c r="BD10" s="236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62">
        <v>0.04</v>
      </c>
      <c r="BP10" s="92">
        <f>+BO10</f>
        <v>0.04</v>
      </c>
    </row>
    <row r="11" spans="1:68" ht="15.75" thickBot="1" x14ac:dyDescent="0.3">
      <c r="A11" s="372"/>
      <c r="B11" s="130" t="s">
        <v>202</v>
      </c>
      <c r="C11" s="138"/>
      <c r="D11" s="132">
        <f>+D5+D6+((D8+D7)*D9)</f>
        <v>7333400</v>
      </c>
      <c r="E11" s="132">
        <f t="shared" ref="E11:AO11" si="11">+E5+E6+((E8+E7)*E9)</f>
        <v>7333400</v>
      </c>
      <c r="F11" s="132">
        <f t="shared" si="11"/>
        <v>7333400</v>
      </c>
      <c r="G11" s="132">
        <f t="shared" si="11"/>
        <v>7333400</v>
      </c>
      <c r="H11" s="132">
        <f t="shared" si="11"/>
        <v>7333400</v>
      </c>
      <c r="I11" s="132">
        <f t="shared" si="11"/>
        <v>7333400</v>
      </c>
      <c r="J11" s="132">
        <f t="shared" si="11"/>
        <v>10066800</v>
      </c>
      <c r="K11" s="132">
        <f t="shared" si="11"/>
        <v>10066800</v>
      </c>
      <c r="L11" s="132">
        <f t="shared" si="11"/>
        <v>10066800</v>
      </c>
      <c r="M11" s="132">
        <f t="shared" si="11"/>
        <v>10066800</v>
      </c>
      <c r="N11" s="132">
        <f t="shared" si="11"/>
        <v>10066800</v>
      </c>
      <c r="O11" s="132">
        <f t="shared" si="11"/>
        <v>10066800</v>
      </c>
      <c r="P11" s="133">
        <f>SUM(D11:O11)</f>
        <v>104401200</v>
      </c>
      <c r="Q11" s="132">
        <f t="shared" si="11"/>
        <v>12300000</v>
      </c>
      <c r="R11" s="132">
        <f t="shared" si="11"/>
        <v>12300000</v>
      </c>
      <c r="S11" s="132">
        <f t="shared" si="11"/>
        <v>12300000</v>
      </c>
      <c r="T11" s="132">
        <f t="shared" si="11"/>
        <v>12300000</v>
      </c>
      <c r="U11" s="132">
        <f t="shared" si="11"/>
        <v>12300000</v>
      </c>
      <c r="V11" s="132">
        <f t="shared" si="11"/>
        <v>12300000</v>
      </c>
      <c r="W11" s="132">
        <f t="shared" si="11"/>
        <v>15600000</v>
      </c>
      <c r="X11" s="132">
        <f t="shared" si="11"/>
        <v>15600000</v>
      </c>
      <c r="Y11" s="132">
        <f t="shared" si="11"/>
        <v>15600000</v>
      </c>
      <c r="Z11" s="132">
        <f t="shared" si="11"/>
        <v>15600000</v>
      </c>
      <c r="AA11" s="132">
        <f t="shared" si="11"/>
        <v>15600000</v>
      </c>
      <c r="AB11" s="132">
        <f t="shared" si="11"/>
        <v>15600000</v>
      </c>
      <c r="AC11" s="133">
        <f>SUM(Q11:AB11)</f>
        <v>167400000</v>
      </c>
      <c r="AD11" s="132">
        <f t="shared" si="11"/>
        <v>18150000</v>
      </c>
      <c r="AE11" s="132">
        <f t="shared" si="11"/>
        <v>18150000</v>
      </c>
      <c r="AF11" s="132">
        <f t="shared" si="11"/>
        <v>18150000</v>
      </c>
      <c r="AG11" s="132">
        <f t="shared" si="11"/>
        <v>18150000</v>
      </c>
      <c r="AH11" s="132">
        <f t="shared" si="11"/>
        <v>18150000</v>
      </c>
      <c r="AI11" s="132">
        <f t="shared" si="11"/>
        <v>18150000</v>
      </c>
      <c r="AJ11" s="132">
        <f t="shared" si="11"/>
        <v>18150000</v>
      </c>
      <c r="AK11" s="132">
        <f t="shared" si="11"/>
        <v>18150000</v>
      </c>
      <c r="AL11" s="132">
        <f t="shared" si="11"/>
        <v>18150000</v>
      </c>
      <c r="AM11" s="132">
        <f t="shared" si="11"/>
        <v>18150000</v>
      </c>
      <c r="AN11" s="132">
        <f t="shared" si="11"/>
        <v>18150000</v>
      </c>
      <c r="AO11" s="132">
        <f t="shared" si="11"/>
        <v>18150000</v>
      </c>
      <c r="AP11" s="133">
        <f>SUM(AD11:AO11)</f>
        <v>217800000</v>
      </c>
      <c r="AQ11" s="237">
        <f t="shared" ref="AQ11:BB11" si="12">+AQ5+AQ6+((AQ8+AQ7)*AQ9)</f>
        <v>18650000</v>
      </c>
      <c r="AR11" s="132">
        <f t="shared" si="12"/>
        <v>18650000</v>
      </c>
      <c r="AS11" s="132">
        <f t="shared" si="12"/>
        <v>18650000</v>
      </c>
      <c r="AT11" s="132">
        <f t="shared" si="12"/>
        <v>18650000</v>
      </c>
      <c r="AU11" s="132">
        <f t="shared" si="12"/>
        <v>18650000</v>
      </c>
      <c r="AV11" s="132">
        <f t="shared" si="12"/>
        <v>18650000</v>
      </c>
      <c r="AW11" s="132">
        <f t="shared" si="12"/>
        <v>18650000</v>
      </c>
      <c r="AX11" s="132">
        <f t="shared" si="12"/>
        <v>18650000</v>
      </c>
      <c r="AY11" s="132">
        <f t="shared" si="12"/>
        <v>18650000</v>
      </c>
      <c r="AZ11" s="132">
        <f t="shared" si="12"/>
        <v>18650000</v>
      </c>
      <c r="BA11" s="132">
        <f t="shared" si="12"/>
        <v>18650000</v>
      </c>
      <c r="BB11" s="132">
        <f t="shared" si="12"/>
        <v>18650000</v>
      </c>
      <c r="BC11" s="133">
        <f>SUM(AQ11:BB11)</f>
        <v>223800000</v>
      </c>
      <c r="BD11" s="237">
        <f t="shared" ref="BD11:BO11" si="13">+BD5+BD6+((BD8+BD7)*BD9)</f>
        <v>19150000</v>
      </c>
      <c r="BE11" s="132">
        <f t="shared" si="13"/>
        <v>19150000</v>
      </c>
      <c r="BF11" s="132">
        <f t="shared" si="13"/>
        <v>19150000</v>
      </c>
      <c r="BG11" s="132">
        <f t="shared" si="13"/>
        <v>19150000</v>
      </c>
      <c r="BH11" s="132">
        <f t="shared" si="13"/>
        <v>19150000</v>
      </c>
      <c r="BI11" s="132">
        <f t="shared" si="13"/>
        <v>19150000</v>
      </c>
      <c r="BJ11" s="132">
        <f t="shared" si="13"/>
        <v>19150000</v>
      </c>
      <c r="BK11" s="132">
        <f t="shared" si="13"/>
        <v>19150000</v>
      </c>
      <c r="BL11" s="132">
        <f t="shared" si="13"/>
        <v>19150000</v>
      </c>
      <c r="BM11" s="132">
        <f t="shared" si="13"/>
        <v>19150000</v>
      </c>
      <c r="BN11" s="132">
        <f t="shared" si="13"/>
        <v>19150000</v>
      </c>
      <c r="BO11" s="132">
        <f t="shared" si="13"/>
        <v>19150000</v>
      </c>
      <c r="BP11" s="134">
        <f>SUM(BD11:BO11)</f>
        <v>229800000</v>
      </c>
    </row>
    <row r="12" spans="1:68" ht="15" customHeight="1" x14ac:dyDescent="0.25">
      <c r="A12" s="370" t="s">
        <v>203</v>
      </c>
      <c r="B12" s="126" t="s">
        <v>81</v>
      </c>
      <c r="C12" s="127">
        <v>8.5000000000000006E-2</v>
      </c>
      <c r="D12" s="128">
        <f>ROUND(D$11*$C12,0)</f>
        <v>623339</v>
      </c>
      <c r="E12" s="128">
        <f t="shared" ref="E12:T14" si="14">ROUND(E$11*$C12,0)</f>
        <v>623339</v>
      </c>
      <c r="F12" s="128">
        <f t="shared" si="14"/>
        <v>623339</v>
      </c>
      <c r="G12" s="128">
        <f t="shared" si="14"/>
        <v>623339</v>
      </c>
      <c r="H12" s="128">
        <f t="shared" si="14"/>
        <v>623339</v>
      </c>
      <c r="I12" s="128">
        <f t="shared" si="14"/>
        <v>623339</v>
      </c>
      <c r="J12" s="128">
        <f t="shared" si="14"/>
        <v>855678</v>
      </c>
      <c r="K12" s="128">
        <f t="shared" si="14"/>
        <v>855678</v>
      </c>
      <c r="L12" s="128">
        <f t="shared" si="14"/>
        <v>855678</v>
      </c>
      <c r="M12" s="128">
        <f t="shared" si="14"/>
        <v>855678</v>
      </c>
      <c r="N12" s="128">
        <f t="shared" si="14"/>
        <v>855678</v>
      </c>
      <c r="O12" s="128">
        <f t="shared" si="14"/>
        <v>855678</v>
      </c>
      <c r="P12" s="128">
        <f t="shared" ref="P12:P14" si="15">+O12</f>
        <v>855678</v>
      </c>
      <c r="Q12" s="128">
        <f t="shared" si="14"/>
        <v>1045500</v>
      </c>
      <c r="R12" s="128">
        <f t="shared" si="14"/>
        <v>1045500</v>
      </c>
      <c r="S12" s="128">
        <f t="shared" si="14"/>
        <v>1045500</v>
      </c>
      <c r="T12" s="128">
        <f t="shared" si="14"/>
        <v>1045500</v>
      </c>
      <c r="U12" s="128">
        <f t="shared" ref="Q12:AB14" si="16">ROUND(U$11*$C12,0)</f>
        <v>1045500</v>
      </c>
      <c r="V12" s="128">
        <f t="shared" si="16"/>
        <v>1045500</v>
      </c>
      <c r="W12" s="128">
        <f t="shared" si="16"/>
        <v>1326000</v>
      </c>
      <c r="X12" s="128">
        <f t="shared" si="16"/>
        <v>1326000</v>
      </c>
      <c r="Y12" s="128">
        <f t="shared" si="16"/>
        <v>1326000</v>
      </c>
      <c r="Z12" s="128">
        <f t="shared" si="16"/>
        <v>1326000</v>
      </c>
      <c r="AA12" s="128">
        <f t="shared" si="16"/>
        <v>1326000</v>
      </c>
      <c r="AB12" s="128">
        <f t="shared" si="16"/>
        <v>1326000</v>
      </c>
      <c r="AC12" s="128">
        <f>SUM(P12:AB12)</f>
        <v>15084678</v>
      </c>
      <c r="AD12" s="128">
        <f t="shared" ref="AD12:AS14" si="17">ROUND(AD$11*$C12,0)</f>
        <v>1542750</v>
      </c>
      <c r="AE12" s="128">
        <f t="shared" si="17"/>
        <v>1542750</v>
      </c>
      <c r="AF12" s="128">
        <f t="shared" si="17"/>
        <v>1542750</v>
      </c>
      <c r="AG12" s="128">
        <f t="shared" si="17"/>
        <v>1542750</v>
      </c>
      <c r="AH12" s="128">
        <f t="shared" si="17"/>
        <v>1542750</v>
      </c>
      <c r="AI12" s="128">
        <f t="shared" si="17"/>
        <v>1542750</v>
      </c>
      <c r="AJ12" s="128">
        <f t="shared" si="17"/>
        <v>1542750</v>
      </c>
      <c r="AK12" s="128">
        <f t="shared" si="17"/>
        <v>1542750</v>
      </c>
      <c r="AL12" s="128">
        <f t="shared" si="17"/>
        <v>1542750</v>
      </c>
      <c r="AM12" s="128">
        <f t="shared" si="17"/>
        <v>1542750</v>
      </c>
      <c r="AN12" s="128">
        <f t="shared" si="17"/>
        <v>1542750</v>
      </c>
      <c r="AO12" s="128">
        <f t="shared" si="17"/>
        <v>1542750</v>
      </c>
      <c r="AP12" s="128">
        <f>SUM(AC12:AO12)</f>
        <v>33597678</v>
      </c>
      <c r="AQ12" s="238">
        <f t="shared" si="17"/>
        <v>1585250</v>
      </c>
      <c r="AR12" s="128">
        <f t="shared" si="17"/>
        <v>1585250</v>
      </c>
      <c r="AS12" s="128">
        <f t="shared" si="17"/>
        <v>1585250</v>
      </c>
      <c r="AT12" s="128">
        <f t="shared" ref="AQ12:BB14" si="18">ROUND(AT$11*$C12,0)</f>
        <v>1585250</v>
      </c>
      <c r="AU12" s="128">
        <f t="shared" si="18"/>
        <v>1585250</v>
      </c>
      <c r="AV12" s="128">
        <f t="shared" si="18"/>
        <v>1585250</v>
      </c>
      <c r="AW12" s="128">
        <f t="shared" si="18"/>
        <v>1585250</v>
      </c>
      <c r="AX12" s="128">
        <f t="shared" si="18"/>
        <v>1585250</v>
      </c>
      <c r="AY12" s="128">
        <f t="shared" si="18"/>
        <v>1585250</v>
      </c>
      <c r="AZ12" s="128">
        <f t="shared" si="18"/>
        <v>1585250</v>
      </c>
      <c r="BA12" s="128">
        <f t="shared" si="18"/>
        <v>1585250</v>
      </c>
      <c r="BB12" s="128">
        <f t="shared" si="18"/>
        <v>1585250</v>
      </c>
      <c r="BC12" s="128">
        <f>SUM(AP12:BB12)</f>
        <v>52620678</v>
      </c>
      <c r="BD12" s="238">
        <f t="shared" ref="BD12:BO14" si="19">ROUND(BD$11*$C12,0)</f>
        <v>1627750</v>
      </c>
      <c r="BE12" s="128">
        <f t="shared" si="19"/>
        <v>1627750</v>
      </c>
      <c r="BF12" s="128">
        <f t="shared" si="19"/>
        <v>1627750</v>
      </c>
      <c r="BG12" s="128">
        <f t="shared" si="19"/>
        <v>1627750</v>
      </c>
      <c r="BH12" s="128">
        <f t="shared" si="19"/>
        <v>1627750</v>
      </c>
      <c r="BI12" s="128">
        <f t="shared" si="19"/>
        <v>1627750</v>
      </c>
      <c r="BJ12" s="128">
        <f t="shared" si="19"/>
        <v>1627750</v>
      </c>
      <c r="BK12" s="128">
        <f t="shared" si="19"/>
        <v>1627750</v>
      </c>
      <c r="BL12" s="128">
        <f t="shared" si="19"/>
        <v>1627750</v>
      </c>
      <c r="BM12" s="128">
        <f t="shared" si="19"/>
        <v>1627750</v>
      </c>
      <c r="BN12" s="128">
        <f t="shared" si="19"/>
        <v>1627750</v>
      </c>
      <c r="BO12" s="128">
        <f t="shared" si="19"/>
        <v>1627750</v>
      </c>
      <c r="BP12" s="129">
        <f>SUM(BC12:BO12)</f>
        <v>72153678</v>
      </c>
    </row>
    <row r="13" spans="1:68" x14ac:dyDescent="0.25">
      <c r="A13" s="376"/>
      <c r="B13" s="58" t="s">
        <v>77</v>
      </c>
      <c r="C13" s="62">
        <v>0.12</v>
      </c>
      <c r="D13" s="59">
        <f>ROUND(D$11*$C13,0)</f>
        <v>880008</v>
      </c>
      <c r="E13" s="59">
        <f t="shared" si="14"/>
        <v>880008</v>
      </c>
      <c r="F13" s="59">
        <f t="shared" si="14"/>
        <v>880008</v>
      </c>
      <c r="G13" s="59">
        <f t="shared" si="14"/>
        <v>880008</v>
      </c>
      <c r="H13" s="59">
        <f t="shared" si="14"/>
        <v>880008</v>
      </c>
      <c r="I13" s="59">
        <f t="shared" si="14"/>
        <v>880008</v>
      </c>
      <c r="J13" s="59">
        <f t="shared" si="14"/>
        <v>1208016</v>
      </c>
      <c r="K13" s="59">
        <f t="shared" si="14"/>
        <v>1208016</v>
      </c>
      <c r="L13" s="59">
        <f t="shared" si="14"/>
        <v>1208016</v>
      </c>
      <c r="M13" s="59">
        <f t="shared" si="14"/>
        <v>1208016</v>
      </c>
      <c r="N13" s="59">
        <f t="shared" si="14"/>
        <v>1208016</v>
      </c>
      <c r="O13" s="59">
        <f t="shared" si="14"/>
        <v>1208016</v>
      </c>
      <c r="P13" s="59">
        <f t="shared" si="15"/>
        <v>1208016</v>
      </c>
      <c r="Q13" s="59">
        <f t="shared" si="16"/>
        <v>1476000</v>
      </c>
      <c r="R13" s="59">
        <f t="shared" si="16"/>
        <v>1476000</v>
      </c>
      <c r="S13" s="59">
        <f t="shared" si="16"/>
        <v>1476000</v>
      </c>
      <c r="T13" s="59">
        <f t="shared" si="16"/>
        <v>1476000</v>
      </c>
      <c r="U13" s="59">
        <f t="shared" si="16"/>
        <v>1476000</v>
      </c>
      <c r="V13" s="59">
        <f t="shared" si="16"/>
        <v>1476000</v>
      </c>
      <c r="W13" s="59">
        <f t="shared" si="16"/>
        <v>1872000</v>
      </c>
      <c r="X13" s="59">
        <f t="shared" si="16"/>
        <v>1872000</v>
      </c>
      <c r="Y13" s="59">
        <f t="shared" si="16"/>
        <v>1872000</v>
      </c>
      <c r="Z13" s="59">
        <f t="shared" si="16"/>
        <v>1872000</v>
      </c>
      <c r="AA13" s="59">
        <f t="shared" si="16"/>
        <v>1872000</v>
      </c>
      <c r="AB13" s="59">
        <f t="shared" si="16"/>
        <v>1872000</v>
      </c>
      <c r="AC13" s="59">
        <f>SUM(P13:AB13)</f>
        <v>21296016</v>
      </c>
      <c r="AD13" s="59">
        <f t="shared" si="17"/>
        <v>2178000</v>
      </c>
      <c r="AE13" s="59">
        <f t="shared" si="17"/>
        <v>2178000</v>
      </c>
      <c r="AF13" s="59">
        <f t="shared" si="17"/>
        <v>2178000</v>
      </c>
      <c r="AG13" s="59">
        <f t="shared" si="17"/>
        <v>2178000</v>
      </c>
      <c r="AH13" s="59">
        <f t="shared" si="17"/>
        <v>2178000</v>
      </c>
      <c r="AI13" s="59">
        <f t="shared" si="17"/>
        <v>2178000</v>
      </c>
      <c r="AJ13" s="59">
        <f t="shared" si="17"/>
        <v>2178000</v>
      </c>
      <c r="AK13" s="59">
        <f t="shared" si="17"/>
        <v>2178000</v>
      </c>
      <c r="AL13" s="59">
        <f t="shared" si="17"/>
        <v>2178000</v>
      </c>
      <c r="AM13" s="59">
        <f t="shared" si="17"/>
        <v>2178000</v>
      </c>
      <c r="AN13" s="59">
        <f t="shared" si="17"/>
        <v>2178000</v>
      </c>
      <c r="AO13" s="59">
        <f t="shared" si="17"/>
        <v>2178000</v>
      </c>
      <c r="AP13" s="59">
        <f>SUM(AC13:AO13)</f>
        <v>47432016</v>
      </c>
      <c r="AQ13" s="239">
        <f t="shared" si="18"/>
        <v>2238000</v>
      </c>
      <c r="AR13" s="59">
        <f t="shared" si="18"/>
        <v>2238000</v>
      </c>
      <c r="AS13" s="59">
        <f t="shared" si="18"/>
        <v>2238000</v>
      </c>
      <c r="AT13" s="59">
        <f t="shared" si="18"/>
        <v>2238000</v>
      </c>
      <c r="AU13" s="59">
        <f t="shared" si="18"/>
        <v>2238000</v>
      </c>
      <c r="AV13" s="59">
        <f t="shared" si="18"/>
        <v>2238000</v>
      </c>
      <c r="AW13" s="59">
        <f t="shared" si="18"/>
        <v>2238000</v>
      </c>
      <c r="AX13" s="59">
        <f t="shared" si="18"/>
        <v>2238000</v>
      </c>
      <c r="AY13" s="59">
        <f t="shared" si="18"/>
        <v>2238000</v>
      </c>
      <c r="AZ13" s="59">
        <f t="shared" si="18"/>
        <v>2238000</v>
      </c>
      <c r="BA13" s="59">
        <f t="shared" si="18"/>
        <v>2238000</v>
      </c>
      <c r="BB13" s="59">
        <f t="shared" si="18"/>
        <v>2238000</v>
      </c>
      <c r="BC13" s="59">
        <f>SUM(AP13:BB13)</f>
        <v>74288016</v>
      </c>
      <c r="BD13" s="239">
        <f t="shared" si="19"/>
        <v>2298000</v>
      </c>
      <c r="BE13" s="59">
        <f t="shared" si="19"/>
        <v>2298000</v>
      </c>
      <c r="BF13" s="59">
        <f t="shared" si="19"/>
        <v>2298000</v>
      </c>
      <c r="BG13" s="59">
        <f t="shared" si="19"/>
        <v>2298000</v>
      </c>
      <c r="BH13" s="59">
        <f t="shared" si="19"/>
        <v>2298000</v>
      </c>
      <c r="BI13" s="59">
        <f t="shared" si="19"/>
        <v>2298000</v>
      </c>
      <c r="BJ13" s="59">
        <f t="shared" si="19"/>
        <v>2298000</v>
      </c>
      <c r="BK13" s="59">
        <f t="shared" si="19"/>
        <v>2298000</v>
      </c>
      <c r="BL13" s="59">
        <f t="shared" si="19"/>
        <v>2298000</v>
      </c>
      <c r="BM13" s="59">
        <f t="shared" si="19"/>
        <v>2298000</v>
      </c>
      <c r="BN13" s="59">
        <f t="shared" si="19"/>
        <v>2298000</v>
      </c>
      <c r="BO13" s="59">
        <f t="shared" si="19"/>
        <v>2298000</v>
      </c>
      <c r="BP13" s="90">
        <f>SUM(BC13:BO13)</f>
        <v>101864016</v>
      </c>
    </row>
    <row r="14" spans="1:68" x14ac:dyDescent="0.25">
      <c r="A14" s="376"/>
      <c r="B14" s="58" t="s">
        <v>80</v>
      </c>
      <c r="C14" s="93">
        <v>5.2199999999999998E-3</v>
      </c>
      <c r="D14" s="59">
        <f>ROUND(D$11*$C14,0)</f>
        <v>38280</v>
      </c>
      <c r="E14" s="59">
        <f t="shared" si="14"/>
        <v>38280</v>
      </c>
      <c r="F14" s="59">
        <f t="shared" si="14"/>
        <v>38280</v>
      </c>
      <c r="G14" s="59">
        <f t="shared" si="14"/>
        <v>38280</v>
      </c>
      <c r="H14" s="59">
        <f t="shared" si="14"/>
        <v>38280</v>
      </c>
      <c r="I14" s="59">
        <f t="shared" si="14"/>
        <v>38280</v>
      </c>
      <c r="J14" s="59">
        <f t="shared" si="14"/>
        <v>52549</v>
      </c>
      <c r="K14" s="59">
        <f t="shared" si="14"/>
        <v>52549</v>
      </c>
      <c r="L14" s="59">
        <f t="shared" si="14"/>
        <v>52549</v>
      </c>
      <c r="M14" s="59">
        <f t="shared" si="14"/>
        <v>52549</v>
      </c>
      <c r="N14" s="59">
        <f t="shared" si="14"/>
        <v>52549</v>
      </c>
      <c r="O14" s="59">
        <f t="shared" si="14"/>
        <v>52549</v>
      </c>
      <c r="P14" s="59">
        <f t="shared" si="15"/>
        <v>52549</v>
      </c>
      <c r="Q14" s="59">
        <f t="shared" si="16"/>
        <v>64206</v>
      </c>
      <c r="R14" s="59">
        <f t="shared" si="16"/>
        <v>64206</v>
      </c>
      <c r="S14" s="59">
        <f t="shared" si="16"/>
        <v>64206</v>
      </c>
      <c r="T14" s="59">
        <f t="shared" si="16"/>
        <v>64206</v>
      </c>
      <c r="U14" s="59">
        <f t="shared" si="16"/>
        <v>64206</v>
      </c>
      <c r="V14" s="59">
        <f t="shared" si="16"/>
        <v>64206</v>
      </c>
      <c r="W14" s="59">
        <f t="shared" si="16"/>
        <v>81432</v>
      </c>
      <c r="X14" s="59">
        <f t="shared" si="16"/>
        <v>81432</v>
      </c>
      <c r="Y14" s="59">
        <f t="shared" si="16"/>
        <v>81432</v>
      </c>
      <c r="Z14" s="59">
        <f t="shared" si="16"/>
        <v>81432</v>
      </c>
      <c r="AA14" s="59">
        <f t="shared" si="16"/>
        <v>81432</v>
      </c>
      <c r="AB14" s="59">
        <f t="shared" si="16"/>
        <v>81432</v>
      </c>
      <c r="AC14" s="59">
        <f>SUM(P14:AB14)</f>
        <v>926377</v>
      </c>
      <c r="AD14" s="59">
        <f t="shared" si="17"/>
        <v>94743</v>
      </c>
      <c r="AE14" s="59">
        <f t="shared" si="17"/>
        <v>94743</v>
      </c>
      <c r="AF14" s="59">
        <f t="shared" si="17"/>
        <v>94743</v>
      </c>
      <c r="AG14" s="59">
        <f t="shared" si="17"/>
        <v>94743</v>
      </c>
      <c r="AH14" s="59">
        <f t="shared" si="17"/>
        <v>94743</v>
      </c>
      <c r="AI14" s="59">
        <f t="shared" si="17"/>
        <v>94743</v>
      </c>
      <c r="AJ14" s="59">
        <f t="shared" si="17"/>
        <v>94743</v>
      </c>
      <c r="AK14" s="59">
        <f t="shared" si="17"/>
        <v>94743</v>
      </c>
      <c r="AL14" s="59">
        <f t="shared" si="17"/>
        <v>94743</v>
      </c>
      <c r="AM14" s="59">
        <f t="shared" si="17"/>
        <v>94743</v>
      </c>
      <c r="AN14" s="59">
        <f t="shared" si="17"/>
        <v>94743</v>
      </c>
      <c r="AO14" s="59">
        <f t="shared" si="17"/>
        <v>94743</v>
      </c>
      <c r="AP14" s="59">
        <f>SUM(AC14:AO14)</f>
        <v>2063293</v>
      </c>
      <c r="AQ14" s="239">
        <f t="shared" si="18"/>
        <v>97353</v>
      </c>
      <c r="AR14" s="59">
        <f t="shared" si="18"/>
        <v>97353</v>
      </c>
      <c r="AS14" s="59">
        <f t="shared" si="18"/>
        <v>97353</v>
      </c>
      <c r="AT14" s="59">
        <f t="shared" si="18"/>
        <v>97353</v>
      </c>
      <c r="AU14" s="59">
        <f t="shared" si="18"/>
        <v>97353</v>
      </c>
      <c r="AV14" s="59">
        <f t="shared" si="18"/>
        <v>97353</v>
      </c>
      <c r="AW14" s="59">
        <f t="shared" si="18"/>
        <v>97353</v>
      </c>
      <c r="AX14" s="59">
        <f t="shared" si="18"/>
        <v>97353</v>
      </c>
      <c r="AY14" s="59">
        <f t="shared" si="18"/>
        <v>97353</v>
      </c>
      <c r="AZ14" s="59">
        <f t="shared" si="18"/>
        <v>97353</v>
      </c>
      <c r="BA14" s="59">
        <f t="shared" si="18"/>
        <v>97353</v>
      </c>
      <c r="BB14" s="59">
        <f t="shared" si="18"/>
        <v>97353</v>
      </c>
      <c r="BC14" s="59">
        <f>SUM(AP14:BB14)</f>
        <v>3231529</v>
      </c>
      <c r="BD14" s="239">
        <f t="shared" si="19"/>
        <v>99963</v>
      </c>
      <c r="BE14" s="59">
        <f t="shared" si="19"/>
        <v>99963</v>
      </c>
      <c r="BF14" s="59">
        <f t="shared" si="19"/>
        <v>99963</v>
      </c>
      <c r="BG14" s="59">
        <f t="shared" si="19"/>
        <v>99963</v>
      </c>
      <c r="BH14" s="59">
        <f t="shared" si="19"/>
        <v>99963</v>
      </c>
      <c r="BI14" s="59">
        <f t="shared" si="19"/>
        <v>99963</v>
      </c>
      <c r="BJ14" s="59">
        <f t="shared" si="19"/>
        <v>99963</v>
      </c>
      <c r="BK14" s="59">
        <f t="shared" si="19"/>
        <v>99963</v>
      </c>
      <c r="BL14" s="59">
        <f t="shared" si="19"/>
        <v>99963</v>
      </c>
      <c r="BM14" s="59">
        <f t="shared" si="19"/>
        <v>99963</v>
      </c>
      <c r="BN14" s="59">
        <f t="shared" si="19"/>
        <v>99963</v>
      </c>
      <c r="BO14" s="59">
        <f t="shared" si="19"/>
        <v>99963</v>
      </c>
      <c r="BP14" s="90">
        <f>SUM(BC14:BO14)</f>
        <v>4431085</v>
      </c>
    </row>
    <row r="15" spans="1:68" ht="15.75" thickBot="1" x14ac:dyDescent="0.3">
      <c r="A15" s="377"/>
      <c r="B15" s="130" t="s">
        <v>199</v>
      </c>
      <c r="C15" s="131">
        <v>0</v>
      </c>
      <c r="D15" s="132">
        <f t="shared" ref="D15:O15" si="20">SUM(D12:D14)</f>
        <v>1541627</v>
      </c>
      <c r="E15" s="132">
        <f t="shared" si="20"/>
        <v>1541627</v>
      </c>
      <c r="F15" s="132">
        <f t="shared" si="20"/>
        <v>1541627</v>
      </c>
      <c r="G15" s="132">
        <f t="shared" si="20"/>
        <v>1541627</v>
      </c>
      <c r="H15" s="132">
        <f t="shared" si="20"/>
        <v>1541627</v>
      </c>
      <c r="I15" s="132">
        <f t="shared" si="20"/>
        <v>1541627</v>
      </c>
      <c r="J15" s="132">
        <f t="shared" si="20"/>
        <v>2116243</v>
      </c>
      <c r="K15" s="132">
        <f t="shared" si="20"/>
        <v>2116243</v>
      </c>
      <c r="L15" s="132">
        <f t="shared" si="20"/>
        <v>2116243</v>
      </c>
      <c r="M15" s="132">
        <f t="shared" si="20"/>
        <v>2116243</v>
      </c>
      <c r="N15" s="132">
        <f t="shared" si="20"/>
        <v>2116243</v>
      </c>
      <c r="O15" s="132">
        <f t="shared" si="20"/>
        <v>2116243</v>
      </c>
      <c r="P15" s="132">
        <f>SUM(D15:O15)</f>
        <v>21947220</v>
      </c>
      <c r="Q15" s="132">
        <f t="shared" ref="Q15:AB15" si="21">SUM(Q12:Q14)</f>
        <v>2585706</v>
      </c>
      <c r="R15" s="132">
        <f t="shared" si="21"/>
        <v>2585706</v>
      </c>
      <c r="S15" s="132">
        <f t="shared" si="21"/>
        <v>2585706</v>
      </c>
      <c r="T15" s="132">
        <f t="shared" si="21"/>
        <v>2585706</v>
      </c>
      <c r="U15" s="132">
        <f t="shared" si="21"/>
        <v>2585706</v>
      </c>
      <c r="V15" s="132">
        <f t="shared" si="21"/>
        <v>2585706</v>
      </c>
      <c r="W15" s="132">
        <f t="shared" si="21"/>
        <v>3279432</v>
      </c>
      <c r="X15" s="132">
        <f t="shared" si="21"/>
        <v>3279432</v>
      </c>
      <c r="Y15" s="132">
        <f t="shared" si="21"/>
        <v>3279432</v>
      </c>
      <c r="Z15" s="132">
        <f t="shared" si="21"/>
        <v>3279432</v>
      </c>
      <c r="AA15" s="132">
        <f t="shared" si="21"/>
        <v>3279432</v>
      </c>
      <c r="AB15" s="132">
        <f t="shared" si="21"/>
        <v>3279432</v>
      </c>
      <c r="AC15" s="133">
        <f>SUM(Q15:AB15)</f>
        <v>35190828</v>
      </c>
      <c r="AD15" s="132">
        <f t="shared" ref="AD15:AO15" si="22">SUM(AD12:AD14)</f>
        <v>3815493</v>
      </c>
      <c r="AE15" s="132">
        <f t="shared" si="22"/>
        <v>3815493</v>
      </c>
      <c r="AF15" s="132">
        <f t="shared" si="22"/>
        <v>3815493</v>
      </c>
      <c r="AG15" s="132">
        <f t="shared" si="22"/>
        <v>3815493</v>
      </c>
      <c r="AH15" s="132">
        <f t="shared" si="22"/>
        <v>3815493</v>
      </c>
      <c r="AI15" s="132">
        <f t="shared" si="22"/>
        <v>3815493</v>
      </c>
      <c r="AJ15" s="132">
        <f t="shared" si="22"/>
        <v>3815493</v>
      </c>
      <c r="AK15" s="132">
        <f t="shared" si="22"/>
        <v>3815493</v>
      </c>
      <c r="AL15" s="132">
        <f t="shared" si="22"/>
        <v>3815493</v>
      </c>
      <c r="AM15" s="132">
        <f t="shared" si="22"/>
        <v>3815493</v>
      </c>
      <c r="AN15" s="132">
        <f t="shared" si="22"/>
        <v>3815493</v>
      </c>
      <c r="AO15" s="132">
        <f t="shared" si="22"/>
        <v>3815493</v>
      </c>
      <c r="AP15" s="133">
        <f>SUM(AD15:AO15)</f>
        <v>45785916</v>
      </c>
      <c r="AQ15" s="237">
        <f t="shared" ref="AQ15:BB15" si="23">SUM(AQ12:AQ14)</f>
        <v>3920603</v>
      </c>
      <c r="AR15" s="132">
        <f t="shared" si="23"/>
        <v>3920603</v>
      </c>
      <c r="AS15" s="132">
        <f t="shared" si="23"/>
        <v>3920603</v>
      </c>
      <c r="AT15" s="132">
        <f t="shared" si="23"/>
        <v>3920603</v>
      </c>
      <c r="AU15" s="132">
        <f t="shared" si="23"/>
        <v>3920603</v>
      </c>
      <c r="AV15" s="132">
        <f t="shared" si="23"/>
        <v>3920603</v>
      </c>
      <c r="AW15" s="132">
        <f t="shared" si="23"/>
        <v>3920603</v>
      </c>
      <c r="AX15" s="132">
        <f t="shared" si="23"/>
        <v>3920603</v>
      </c>
      <c r="AY15" s="132">
        <f t="shared" si="23"/>
        <v>3920603</v>
      </c>
      <c r="AZ15" s="132">
        <f t="shared" si="23"/>
        <v>3920603</v>
      </c>
      <c r="BA15" s="132">
        <f t="shared" si="23"/>
        <v>3920603</v>
      </c>
      <c r="BB15" s="132">
        <f t="shared" si="23"/>
        <v>3920603</v>
      </c>
      <c r="BC15" s="133">
        <f>SUM(AQ15:BB15)</f>
        <v>47047236</v>
      </c>
      <c r="BD15" s="237">
        <f t="shared" ref="BD15:BO15" si="24">SUM(BD12:BD14)</f>
        <v>4025713</v>
      </c>
      <c r="BE15" s="132">
        <f t="shared" si="24"/>
        <v>4025713</v>
      </c>
      <c r="BF15" s="132">
        <f t="shared" si="24"/>
        <v>4025713</v>
      </c>
      <c r="BG15" s="132">
        <f t="shared" si="24"/>
        <v>4025713</v>
      </c>
      <c r="BH15" s="132">
        <f t="shared" si="24"/>
        <v>4025713</v>
      </c>
      <c r="BI15" s="132">
        <f t="shared" si="24"/>
        <v>4025713</v>
      </c>
      <c r="BJ15" s="132">
        <f t="shared" si="24"/>
        <v>4025713</v>
      </c>
      <c r="BK15" s="132">
        <f t="shared" si="24"/>
        <v>4025713</v>
      </c>
      <c r="BL15" s="132">
        <f t="shared" si="24"/>
        <v>4025713</v>
      </c>
      <c r="BM15" s="132">
        <f t="shared" si="24"/>
        <v>4025713</v>
      </c>
      <c r="BN15" s="132">
        <f t="shared" si="24"/>
        <v>4025713</v>
      </c>
      <c r="BO15" s="132">
        <f t="shared" si="24"/>
        <v>4025713</v>
      </c>
      <c r="BP15" s="134">
        <f>SUM(BD15:BO15)</f>
        <v>48308556</v>
      </c>
    </row>
    <row r="16" spans="1:68" ht="15" customHeight="1" x14ac:dyDescent="0.25">
      <c r="A16" s="376" t="s">
        <v>70</v>
      </c>
      <c r="B16" s="122" t="s">
        <v>67</v>
      </c>
      <c r="C16" s="123">
        <v>0.02</v>
      </c>
      <c r="D16" s="124">
        <f t="shared" ref="D16:O18" si="25">ROUND(D$11*$C16,0)</f>
        <v>146668</v>
      </c>
      <c r="E16" s="124">
        <f t="shared" si="25"/>
        <v>146668</v>
      </c>
      <c r="F16" s="124">
        <f t="shared" si="25"/>
        <v>146668</v>
      </c>
      <c r="G16" s="124">
        <f t="shared" si="25"/>
        <v>146668</v>
      </c>
      <c r="H16" s="124">
        <f t="shared" si="25"/>
        <v>146668</v>
      </c>
      <c r="I16" s="124">
        <f t="shared" si="25"/>
        <v>146668</v>
      </c>
      <c r="J16" s="124">
        <f t="shared" si="25"/>
        <v>201336</v>
      </c>
      <c r="K16" s="124">
        <f t="shared" si="25"/>
        <v>201336</v>
      </c>
      <c r="L16" s="124">
        <f t="shared" si="25"/>
        <v>201336</v>
      </c>
      <c r="M16" s="124">
        <f t="shared" si="25"/>
        <v>201336</v>
      </c>
      <c r="N16" s="124">
        <f t="shared" si="25"/>
        <v>201336</v>
      </c>
      <c r="O16" s="124">
        <f t="shared" si="25"/>
        <v>201336</v>
      </c>
      <c r="P16" s="124">
        <f t="shared" ref="P16:P28" si="26">+O16</f>
        <v>201336</v>
      </c>
      <c r="Q16" s="124">
        <f t="shared" ref="Q16:AB18" si="27">ROUND(Q$11*$C16,0)</f>
        <v>246000</v>
      </c>
      <c r="R16" s="124">
        <f t="shared" si="27"/>
        <v>246000</v>
      </c>
      <c r="S16" s="124">
        <f t="shared" si="27"/>
        <v>246000</v>
      </c>
      <c r="T16" s="124">
        <f t="shared" si="27"/>
        <v>246000</v>
      </c>
      <c r="U16" s="124">
        <f t="shared" si="27"/>
        <v>246000</v>
      </c>
      <c r="V16" s="124">
        <f t="shared" si="27"/>
        <v>246000</v>
      </c>
      <c r="W16" s="124">
        <f t="shared" si="27"/>
        <v>312000</v>
      </c>
      <c r="X16" s="124">
        <f t="shared" si="27"/>
        <v>312000</v>
      </c>
      <c r="Y16" s="124">
        <f t="shared" si="27"/>
        <v>312000</v>
      </c>
      <c r="Z16" s="124">
        <f t="shared" si="27"/>
        <v>312000</v>
      </c>
      <c r="AA16" s="124">
        <f t="shared" si="27"/>
        <v>312000</v>
      </c>
      <c r="AB16" s="124">
        <f t="shared" si="27"/>
        <v>312000</v>
      </c>
      <c r="AC16" s="124">
        <f>SUM(P16:AB16)</f>
        <v>3549336</v>
      </c>
      <c r="AD16" s="124">
        <f t="shared" ref="AD16:AS18" si="28">ROUND(AD$11*$C16,0)</f>
        <v>363000</v>
      </c>
      <c r="AE16" s="124">
        <f t="shared" si="28"/>
        <v>363000</v>
      </c>
      <c r="AF16" s="124">
        <f t="shared" si="28"/>
        <v>363000</v>
      </c>
      <c r="AG16" s="124">
        <f t="shared" si="28"/>
        <v>363000</v>
      </c>
      <c r="AH16" s="124">
        <f t="shared" si="28"/>
        <v>363000</v>
      </c>
      <c r="AI16" s="124">
        <f t="shared" si="28"/>
        <v>363000</v>
      </c>
      <c r="AJ16" s="124">
        <f t="shared" si="28"/>
        <v>363000</v>
      </c>
      <c r="AK16" s="124">
        <f t="shared" si="28"/>
        <v>363000</v>
      </c>
      <c r="AL16" s="124">
        <f t="shared" si="28"/>
        <v>363000</v>
      </c>
      <c r="AM16" s="124">
        <f t="shared" si="28"/>
        <v>363000</v>
      </c>
      <c r="AN16" s="124">
        <f t="shared" si="28"/>
        <v>363000</v>
      </c>
      <c r="AO16" s="124">
        <f t="shared" si="28"/>
        <v>363000</v>
      </c>
      <c r="AP16" s="124">
        <f>SUM(AC16:AO16)</f>
        <v>7905336</v>
      </c>
      <c r="AQ16" s="240">
        <f t="shared" si="28"/>
        <v>373000</v>
      </c>
      <c r="AR16" s="124">
        <f t="shared" si="28"/>
        <v>373000</v>
      </c>
      <c r="AS16" s="124">
        <f t="shared" si="28"/>
        <v>373000</v>
      </c>
      <c r="AT16" s="124">
        <f t="shared" ref="AQ16:BB18" si="29">ROUND(AT$11*$C16,0)</f>
        <v>373000</v>
      </c>
      <c r="AU16" s="124">
        <f t="shared" si="29"/>
        <v>373000</v>
      </c>
      <c r="AV16" s="124">
        <f t="shared" si="29"/>
        <v>373000</v>
      </c>
      <c r="AW16" s="124">
        <f t="shared" si="29"/>
        <v>373000</v>
      </c>
      <c r="AX16" s="124">
        <f t="shared" si="29"/>
        <v>373000</v>
      </c>
      <c r="AY16" s="124">
        <f t="shared" si="29"/>
        <v>373000</v>
      </c>
      <c r="AZ16" s="124">
        <f t="shared" si="29"/>
        <v>373000</v>
      </c>
      <c r="BA16" s="124">
        <f t="shared" si="29"/>
        <v>373000</v>
      </c>
      <c r="BB16" s="124">
        <f t="shared" si="29"/>
        <v>373000</v>
      </c>
      <c r="BC16" s="124">
        <f>SUM(AP16:BB16)</f>
        <v>12381336</v>
      </c>
      <c r="BD16" s="240">
        <f t="shared" ref="BD16:BO18" si="30">ROUND(BD$11*$C16,0)</f>
        <v>383000</v>
      </c>
      <c r="BE16" s="124">
        <f t="shared" si="30"/>
        <v>383000</v>
      </c>
      <c r="BF16" s="124">
        <f t="shared" si="30"/>
        <v>383000</v>
      </c>
      <c r="BG16" s="124">
        <f t="shared" si="30"/>
        <v>383000</v>
      </c>
      <c r="BH16" s="124">
        <f t="shared" si="30"/>
        <v>383000</v>
      </c>
      <c r="BI16" s="124">
        <f t="shared" si="30"/>
        <v>383000</v>
      </c>
      <c r="BJ16" s="124">
        <f t="shared" si="30"/>
        <v>383000</v>
      </c>
      <c r="BK16" s="124">
        <f t="shared" si="30"/>
        <v>383000</v>
      </c>
      <c r="BL16" s="124">
        <f t="shared" si="30"/>
        <v>383000</v>
      </c>
      <c r="BM16" s="124">
        <f t="shared" si="30"/>
        <v>383000</v>
      </c>
      <c r="BN16" s="124">
        <f t="shared" si="30"/>
        <v>383000</v>
      </c>
      <c r="BO16" s="124">
        <f t="shared" si="30"/>
        <v>383000</v>
      </c>
      <c r="BP16" s="125">
        <f>SUM(BC16:BO16)</f>
        <v>16977336</v>
      </c>
    </row>
    <row r="17" spans="1:68" x14ac:dyDescent="0.25">
      <c r="A17" s="376"/>
      <c r="B17" s="58" t="s">
        <v>68</v>
      </c>
      <c r="C17" s="62">
        <v>0.03</v>
      </c>
      <c r="D17" s="59">
        <f t="shared" si="25"/>
        <v>220002</v>
      </c>
      <c r="E17" s="59">
        <f t="shared" si="25"/>
        <v>220002</v>
      </c>
      <c r="F17" s="59">
        <f t="shared" si="25"/>
        <v>220002</v>
      </c>
      <c r="G17" s="59">
        <f t="shared" si="25"/>
        <v>220002</v>
      </c>
      <c r="H17" s="59">
        <f t="shared" si="25"/>
        <v>220002</v>
      </c>
      <c r="I17" s="59">
        <f t="shared" si="25"/>
        <v>220002</v>
      </c>
      <c r="J17" s="59">
        <f t="shared" si="25"/>
        <v>302004</v>
      </c>
      <c r="K17" s="59">
        <f t="shared" si="25"/>
        <v>302004</v>
      </c>
      <c r="L17" s="59">
        <f t="shared" si="25"/>
        <v>302004</v>
      </c>
      <c r="M17" s="59">
        <f t="shared" si="25"/>
        <v>302004</v>
      </c>
      <c r="N17" s="59">
        <f t="shared" si="25"/>
        <v>302004</v>
      </c>
      <c r="O17" s="59">
        <f t="shared" si="25"/>
        <v>302004</v>
      </c>
      <c r="P17" s="59">
        <f t="shared" si="26"/>
        <v>302004</v>
      </c>
      <c r="Q17" s="59">
        <f t="shared" si="27"/>
        <v>369000</v>
      </c>
      <c r="R17" s="59">
        <f t="shared" si="27"/>
        <v>369000</v>
      </c>
      <c r="S17" s="59">
        <f t="shared" si="27"/>
        <v>369000</v>
      </c>
      <c r="T17" s="59">
        <f t="shared" si="27"/>
        <v>369000</v>
      </c>
      <c r="U17" s="59">
        <f t="shared" si="27"/>
        <v>369000</v>
      </c>
      <c r="V17" s="59">
        <f t="shared" si="27"/>
        <v>369000</v>
      </c>
      <c r="W17" s="59">
        <f t="shared" si="27"/>
        <v>468000</v>
      </c>
      <c r="X17" s="59">
        <f t="shared" si="27"/>
        <v>468000</v>
      </c>
      <c r="Y17" s="59">
        <f t="shared" si="27"/>
        <v>468000</v>
      </c>
      <c r="Z17" s="59">
        <f t="shared" si="27"/>
        <v>468000</v>
      </c>
      <c r="AA17" s="59">
        <f t="shared" si="27"/>
        <v>468000</v>
      </c>
      <c r="AB17" s="59">
        <f t="shared" si="27"/>
        <v>468000</v>
      </c>
      <c r="AC17" s="59">
        <f>SUM(P17:AB17)</f>
        <v>5324004</v>
      </c>
      <c r="AD17" s="59">
        <f t="shared" si="28"/>
        <v>544500</v>
      </c>
      <c r="AE17" s="59">
        <f t="shared" si="28"/>
        <v>544500</v>
      </c>
      <c r="AF17" s="59">
        <f t="shared" si="28"/>
        <v>544500</v>
      </c>
      <c r="AG17" s="59">
        <f t="shared" si="28"/>
        <v>544500</v>
      </c>
      <c r="AH17" s="59">
        <f t="shared" si="28"/>
        <v>544500</v>
      </c>
      <c r="AI17" s="59">
        <f t="shared" si="28"/>
        <v>544500</v>
      </c>
      <c r="AJ17" s="59">
        <f t="shared" si="28"/>
        <v>544500</v>
      </c>
      <c r="AK17" s="59">
        <f t="shared" si="28"/>
        <v>544500</v>
      </c>
      <c r="AL17" s="59">
        <f t="shared" si="28"/>
        <v>544500</v>
      </c>
      <c r="AM17" s="59">
        <f t="shared" si="28"/>
        <v>544500</v>
      </c>
      <c r="AN17" s="59">
        <f t="shared" si="28"/>
        <v>544500</v>
      </c>
      <c r="AO17" s="59">
        <f t="shared" si="28"/>
        <v>544500</v>
      </c>
      <c r="AP17" s="59">
        <f>SUM(AC17:AO17)</f>
        <v>11858004</v>
      </c>
      <c r="AQ17" s="239">
        <f t="shared" si="29"/>
        <v>559500</v>
      </c>
      <c r="AR17" s="59">
        <f t="shared" si="29"/>
        <v>559500</v>
      </c>
      <c r="AS17" s="59">
        <f t="shared" si="29"/>
        <v>559500</v>
      </c>
      <c r="AT17" s="59">
        <f t="shared" si="29"/>
        <v>559500</v>
      </c>
      <c r="AU17" s="59">
        <f t="shared" si="29"/>
        <v>559500</v>
      </c>
      <c r="AV17" s="59">
        <f t="shared" si="29"/>
        <v>559500</v>
      </c>
      <c r="AW17" s="59">
        <f t="shared" si="29"/>
        <v>559500</v>
      </c>
      <c r="AX17" s="59">
        <f t="shared" si="29"/>
        <v>559500</v>
      </c>
      <c r="AY17" s="59">
        <f t="shared" si="29"/>
        <v>559500</v>
      </c>
      <c r="AZ17" s="59">
        <f t="shared" si="29"/>
        <v>559500</v>
      </c>
      <c r="BA17" s="59">
        <f t="shared" si="29"/>
        <v>559500</v>
      </c>
      <c r="BB17" s="59">
        <f t="shared" si="29"/>
        <v>559500</v>
      </c>
      <c r="BC17" s="59">
        <f>SUM(AP17:BB17)</f>
        <v>18572004</v>
      </c>
      <c r="BD17" s="239">
        <f t="shared" si="30"/>
        <v>574500</v>
      </c>
      <c r="BE17" s="59">
        <f t="shared" si="30"/>
        <v>574500</v>
      </c>
      <c r="BF17" s="59">
        <f t="shared" si="30"/>
        <v>574500</v>
      </c>
      <c r="BG17" s="59">
        <f t="shared" si="30"/>
        <v>574500</v>
      </c>
      <c r="BH17" s="59">
        <f t="shared" si="30"/>
        <v>574500</v>
      </c>
      <c r="BI17" s="59">
        <f t="shared" si="30"/>
        <v>574500</v>
      </c>
      <c r="BJ17" s="59">
        <f t="shared" si="30"/>
        <v>574500</v>
      </c>
      <c r="BK17" s="59">
        <f t="shared" si="30"/>
        <v>574500</v>
      </c>
      <c r="BL17" s="59">
        <f t="shared" si="30"/>
        <v>574500</v>
      </c>
      <c r="BM17" s="59">
        <f t="shared" si="30"/>
        <v>574500</v>
      </c>
      <c r="BN17" s="59">
        <f t="shared" si="30"/>
        <v>574500</v>
      </c>
      <c r="BO17" s="59">
        <f t="shared" si="30"/>
        <v>574500</v>
      </c>
      <c r="BP17" s="90">
        <f>SUM(BC17:BO17)</f>
        <v>25466004</v>
      </c>
    </row>
    <row r="18" spans="1:68" x14ac:dyDescent="0.25">
      <c r="A18" s="376"/>
      <c r="B18" s="58" t="s">
        <v>69</v>
      </c>
      <c r="C18" s="62">
        <v>0.04</v>
      </c>
      <c r="D18" s="59">
        <f t="shared" si="25"/>
        <v>293336</v>
      </c>
      <c r="E18" s="59">
        <f t="shared" si="25"/>
        <v>293336</v>
      </c>
      <c r="F18" s="59">
        <f t="shared" si="25"/>
        <v>293336</v>
      </c>
      <c r="G18" s="59">
        <f t="shared" si="25"/>
        <v>293336</v>
      </c>
      <c r="H18" s="59">
        <f t="shared" si="25"/>
        <v>293336</v>
      </c>
      <c r="I18" s="59">
        <f t="shared" si="25"/>
        <v>293336</v>
      </c>
      <c r="J18" s="59">
        <f t="shared" si="25"/>
        <v>402672</v>
      </c>
      <c r="K18" s="59">
        <f t="shared" si="25"/>
        <v>402672</v>
      </c>
      <c r="L18" s="59">
        <f t="shared" si="25"/>
        <v>402672</v>
      </c>
      <c r="M18" s="59">
        <f t="shared" si="25"/>
        <v>402672</v>
      </c>
      <c r="N18" s="59">
        <f t="shared" si="25"/>
        <v>402672</v>
      </c>
      <c r="O18" s="59">
        <f t="shared" si="25"/>
        <v>402672</v>
      </c>
      <c r="P18" s="59">
        <f t="shared" si="26"/>
        <v>402672</v>
      </c>
      <c r="Q18" s="59">
        <f t="shared" si="27"/>
        <v>492000</v>
      </c>
      <c r="R18" s="59">
        <f t="shared" si="27"/>
        <v>492000</v>
      </c>
      <c r="S18" s="59">
        <f t="shared" si="27"/>
        <v>492000</v>
      </c>
      <c r="T18" s="59">
        <f t="shared" si="27"/>
        <v>492000</v>
      </c>
      <c r="U18" s="59">
        <f t="shared" si="27"/>
        <v>492000</v>
      </c>
      <c r="V18" s="59">
        <f t="shared" si="27"/>
        <v>492000</v>
      </c>
      <c r="W18" s="59">
        <f t="shared" si="27"/>
        <v>624000</v>
      </c>
      <c r="X18" s="59">
        <f t="shared" si="27"/>
        <v>624000</v>
      </c>
      <c r="Y18" s="59">
        <f t="shared" si="27"/>
        <v>624000</v>
      </c>
      <c r="Z18" s="59">
        <f t="shared" si="27"/>
        <v>624000</v>
      </c>
      <c r="AA18" s="59">
        <f t="shared" si="27"/>
        <v>624000</v>
      </c>
      <c r="AB18" s="59">
        <f t="shared" si="27"/>
        <v>624000</v>
      </c>
      <c r="AC18" s="59">
        <f>SUM(P18:AB18)</f>
        <v>7098672</v>
      </c>
      <c r="AD18" s="59">
        <f t="shared" si="28"/>
        <v>726000</v>
      </c>
      <c r="AE18" s="59">
        <f t="shared" si="28"/>
        <v>726000</v>
      </c>
      <c r="AF18" s="59">
        <f t="shared" si="28"/>
        <v>726000</v>
      </c>
      <c r="AG18" s="59">
        <f t="shared" si="28"/>
        <v>726000</v>
      </c>
      <c r="AH18" s="59">
        <f t="shared" si="28"/>
        <v>726000</v>
      </c>
      <c r="AI18" s="59">
        <f t="shared" si="28"/>
        <v>726000</v>
      </c>
      <c r="AJ18" s="59">
        <f t="shared" si="28"/>
        <v>726000</v>
      </c>
      <c r="AK18" s="59">
        <f t="shared" si="28"/>
        <v>726000</v>
      </c>
      <c r="AL18" s="59">
        <f t="shared" si="28"/>
        <v>726000</v>
      </c>
      <c r="AM18" s="59">
        <f t="shared" si="28"/>
        <v>726000</v>
      </c>
      <c r="AN18" s="59">
        <f t="shared" si="28"/>
        <v>726000</v>
      </c>
      <c r="AO18" s="59">
        <f t="shared" si="28"/>
        <v>726000</v>
      </c>
      <c r="AP18" s="59">
        <f>SUM(AC18:AO18)</f>
        <v>15810672</v>
      </c>
      <c r="AQ18" s="239">
        <f t="shared" si="29"/>
        <v>746000</v>
      </c>
      <c r="AR18" s="59">
        <f t="shared" si="29"/>
        <v>746000</v>
      </c>
      <c r="AS18" s="59">
        <f t="shared" si="29"/>
        <v>746000</v>
      </c>
      <c r="AT18" s="59">
        <f t="shared" si="29"/>
        <v>746000</v>
      </c>
      <c r="AU18" s="59">
        <f t="shared" si="29"/>
        <v>746000</v>
      </c>
      <c r="AV18" s="59">
        <f t="shared" si="29"/>
        <v>746000</v>
      </c>
      <c r="AW18" s="59">
        <f t="shared" si="29"/>
        <v>746000</v>
      </c>
      <c r="AX18" s="59">
        <f t="shared" si="29"/>
        <v>746000</v>
      </c>
      <c r="AY18" s="59">
        <f t="shared" si="29"/>
        <v>746000</v>
      </c>
      <c r="AZ18" s="59">
        <f t="shared" si="29"/>
        <v>746000</v>
      </c>
      <c r="BA18" s="59">
        <f t="shared" si="29"/>
        <v>746000</v>
      </c>
      <c r="BB18" s="59">
        <f t="shared" si="29"/>
        <v>746000</v>
      </c>
      <c r="BC18" s="59">
        <f>SUM(AP18:BB18)</f>
        <v>24762672</v>
      </c>
      <c r="BD18" s="239">
        <f t="shared" si="30"/>
        <v>766000</v>
      </c>
      <c r="BE18" s="59">
        <f t="shared" si="30"/>
        <v>766000</v>
      </c>
      <c r="BF18" s="59">
        <f t="shared" si="30"/>
        <v>766000</v>
      </c>
      <c r="BG18" s="59">
        <f t="shared" si="30"/>
        <v>766000</v>
      </c>
      <c r="BH18" s="59">
        <f t="shared" si="30"/>
        <v>766000</v>
      </c>
      <c r="BI18" s="59">
        <f t="shared" si="30"/>
        <v>766000</v>
      </c>
      <c r="BJ18" s="59">
        <f t="shared" si="30"/>
        <v>766000</v>
      </c>
      <c r="BK18" s="59">
        <f t="shared" si="30"/>
        <v>766000</v>
      </c>
      <c r="BL18" s="59">
        <f t="shared" si="30"/>
        <v>766000</v>
      </c>
      <c r="BM18" s="59">
        <f t="shared" si="30"/>
        <v>766000</v>
      </c>
      <c r="BN18" s="59">
        <f t="shared" si="30"/>
        <v>766000</v>
      </c>
      <c r="BO18" s="59">
        <f t="shared" si="30"/>
        <v>766000</v>
      </c>
      <c r="BP18" s="90">
        <f>SUM(BC18:BO18)</f>
        <v>33954672</v>
      </c>
    </row>
    <row r="19" spans="1:68" ht="15.75" thickBot="1" x14ac:dyDescent="0.3">
      <c r="A19" s="376"/>
      <c r="B19" s="118" t="s">
        <v>200</v>
      </c>
      <c r="C19" s="139">
        <v>0</v>
      </c>
      <c r="D19" s="119">
        <f>SUM(D16:D18)</f>
        <v>660006</v>
      </c>
      <c r="E19" s="119">
        <f t="shared" ref="E19:O19" si="31">SUM(E16:E18)</f>
        <v>660006</v>
      </c>
      <c r="F19" s="119">
        <f t="shared" si="31"/>
        <v>660006</v>
      </c>
      <c r="G19" s="119">
        <f t="shared" si="31"/>
        <v>660006</v>
      </c>
      <c r="H19" s="119">
        <f t="shared" si="31"/>
        <v>660006</v>
      </c>
      <c r="I19" s="119">
        <f t="shared" si="31"/>
        <v>660006</v>
      </c>
      <c r="J19" s="119">
        <f t="shared" si="31"/>
        <v>906012</v>
      </c>
      <c r="K19" s="119">
        <f t="shared" si="31"/>
        <v>906012</v>
      </c>
      <c r="L19" s="119">
        <f t="shared" si="31"/>
        <v>906012</v>
      </c>
      <c r="M19" s="119">
        <f t="shared" si="31"/>
        <v>906012</v>
      </c>
      <c r="N19" s="119">
        <f t="shared" si="31"/>
        <v>906012</v>
      </c>
      <c r="O19" s="119">
        <f t="shared" si="31"/>
        <v>906012</v>
      </c>
      <c r="P19" s="119">
        <f>SUM(D19:O19)</f>
        <v>9396108</v>
      </c>
      <c r="Q19" s="119">
        <f t="shared" ref="Q19:AB19" si="32">SUM(Q16:Q18)</f>
        <v>1107000</v>
      </c>
      <c r="R19" s="119">
        <f t="shared" si="32"/>
        <v>1107000</v>
      </c>
      <c r="S19" s="119">
        <f t="shared" si="32"/>
        <v>1107000</v>
      </c>
      <c r="T19" s="119">
        <f t="shared" si="32"/>
        <v>1107000</v>
      </c>
      <c r="U19" s="119">
        <f t="shared" si="32"/>
        <v>1107000</v>
      </c>
      <c r="V19" s="119">
        <f t="shared" si="32"/>
        <v>1107000</v>
      </c>
      <c r="W19" s="119">
        <f t="shared" si="32"/>
        <v>1404000</v>
      </c>
      <c r="X19" s="119">
        <f t="shared" si="32"/>
        <v>1404000</v>
      </c>
      <c r="Y19" s="119">
        <f t="shared" si="32"/>
        <v>1404000</v>
      </c>
      <c r="Z19" s="119">
        <f t="shared" si="32"/>
        <v>1404000</v>
      </c>
      <c r="AA19" s="119">
        <f t="shared" si="32"/>
        <v>1404000</v>
      </c>
      <c r="AB19" s="119">
        <f t="shared" si="32"/>
        <v>1404000</v>
      </c>
      <c r="AC19" s="120">
        <f>SUM(Q19:AB19)</f>
        <v>15066000</v>
      </c>
      <c r="AD19" s="119">
        <f t="shared" ref="AD19:AO19" si="33">SUM(AD16:AD18)</f>
        <v>1633500</v>
      </c>
      <c r="AE19" s="119">
        <f t="shared" si="33"/>
        <v>1633500</v>
      </c>
      <c r="AF19" s="119">
        <f t="shared" si="33"/>
        <v>1633500</v>
      </c>
      <c r="AG19" s="119">
        <f t="shared" si="33"/>
        <v>1633500</v>
      </c>
      <c r="AH19" s="119">
        <f t="shared" si="33"/>
        <v>1633500</v>
      </c>
      <c r="AI19" s="119">
        <f t="shared" si="33"/>
        <v>1633500</v>
      </c>
      <c r="AJ19" s="119">
        <f t="shared" si="33"/>
        <v>1633500</v>
      </c>
      <c r="AK19" s="119">
        <f t="shared" si="33"/>
        <v>1633500</v>
      </c>
      <c r="AL19" s="119">
        <f t="shared" si="33"/>
        <v>1633500</v>
      </c>
      <c r="AM19" s="119">
        <f t="shared" si="33"/>
        <v>1633500</v>
      </c>
      <c r="AN19" s="119">
        <f t="shared" si="33"/>
        <v>1633500</v>
      </c>
      <c r="AO19" s="119">
        <f t="shared" si="33"/>
        <v>1633500</v>
      </c>
      <c r="AP19" s="120">
        <f>SUM(AD19:AO19)</f>
        <v>19602000</v>
      </c>
      <c r="AQ19" s="241">
        <f t="shared" ref="AQ19:BB19" si="34">SUM(AQ16:AQ18)</f>
        <v>1678500</v>
      </c>
      <c r="AR19" s="119">
        <f t="shared" si="34"/>
        <v>1678500</v>
      </c>
      <c r="AS19" s="119">
        <f t="shared" si="34"/>
        <v>1678500</v>
      </c>
      <c r="AT19" s="119">
        <f t="shared" si="34"/>
        <v>1678500</v>
      </c>
      <c r="AU19" s="119">
        <f t="shared" si="34"/>
        <v>1678500</v>
      </c>
      <c r="AV19" s="119">
        <f t="shared" si="34"/>
        <v>1678500</v>
      </c>
      <c r="AW19" s="119">
        <f t="shared" si="34"/>
        <v>1678500</v>
      </c>
      <c r="AX19" s="119">
        <f t="shared" si="34"/>
        <v>1678500</v>
      </c>
      <c r="AY19" s="119">
        <f t="shared" si="34"/>
        <v>1678500</v>
      </c>
      <c r="AZ19" s="119">
        <f t="shared" si="34"/>
        <v>1678500</v>
      </c>
      <c r="BA19" s="119">
        <f t="shared" si="34"/>
        <v>1678500</v>
      </c>
      <c r="BB19" s="119">
        <f t="shared" si="34"/>
        <v>1678500</v>
      </c>
      <c r="BC19" s="120">
        <f>SUM(AQ19:BB19)</f>
        <v>20142000</v>
      </c>
      <c r="BD19" s="241">
        <f t="shared" ref="BD19:BO19" si="35">SUM(BD16:BD18)</f>
        <v>1723500</v>
      </c>
      <c r="BE19" s="119">
        <f t="shared" si="35"/>
        <v>1723500</v>
      </c>
      <c r="BF19" s="119">
        <f t="shared" si="35"/>
        <v>1723500</v>
      </c>
      <c r="BG19" s="119">
        <f t="shared" si="35"/>
        <v>1723500</v>
      </c>
      <c r="BH19" s="119">
        <f t="shared" si="35"/>
        <v>1723500</v>
      </c>
      <c r="BI19" s="119">
        <f t="shared" si="35"/>
        <v>1723500</v>
      </c>
      <c r="BJ19" s="119">
        <f t="shared" si="35"/>
        <v>1723500</v>
      </c>
      <c r="BK19" s="119">
        <f t="shared" si="35"/>
        <v>1723500</v>
      </c>
      <c r="BL19" s="119">
        <f t="shared" si="35"/>
        <v>1723500</v>
      </c>
      <c r="BM19" s="119">
        <f t="shared" si="35"/>
        <v>1723500</v>
      </c>
      <c r="BN19" s="119">
        <f t="shared" si="35"/>
        <v>1723500</v>
      </c>
      <c r="BO19" s="119">
        <f t="shared" si="35"/>
        <v>1723500</v>
      </c>
      <c r="BP19" s="121">
        <f>SUM(BD19:BO19)</f>
        <v>20682000</v>
      </c>
    </row>
    <row r="20" spans="1:68" ht="15" customHeight="1" x14ac:dyDescent="0.25">
      <c r="A20" s="378" t="s">
        <v>75</v>
      </c>
      <c r="B20" s="143" t="s">
        <v>71</v>
      </c>
      <c r="C20" s="144">
        <v>8.3299999999999999E-2</v>
      </c>
      <c r="D20" s="128">
        <f t="shared" ref="D20:S23" si="36">ROUND(D$11*$C20,0)</f>
        <v>610872</v>
      </c>
      <c r="E20" s="128">
        <f t="shared" si="36"/>
        <v>610872</v>
      </c>
      <c r="F20" s="128">
        <f t="shared" si="36"/>
        <v>610872</v>
      </c>
      <c r="G20" s="128">
        <f t="shared" si="36"/>
        <v>610872</v>
      </c>
      <c r="H20" s="128">
        <f t="shared" si="36"/>
        <v>610872</v>
      </c>
      <c r="I20" s="128">
        <f t="shared" si="36"/>
        <v>610872</v>
      </c>
      <c r="J20" s="128">
        <f t="shared" si="36"/>
        <v>838564</v>
      </c>
      <c r="K20" s="128">
        <f t="shared" si="36"/>
        <v>838564</v>
      </c>
      <c r="L20" s="128">
        <f t="shared" si="36"/>
        <v>838564</v>
      </c>
      <c r="M20" s="128">
        <f t="shared" si="36"/>
        <v>838564</v>
      </c>
      <c r="N20" s="128">
        <f t="shared" si="36"/>
        <v>838564</v>
      </c>
      <c r="O20" s="128">
        <f t="shared" si="36"/>
        <v>838564</v>
      </c>
      <c r="P20" s="128">
        <f t="shared" si="26"/>
        <v>838564</v>
      </c>
      <c r="Q20" s="128">
        <f t="shared" si="36"/>
        <v>1024590</v>
      </c>
      <c r="R20" s="128">
        <f t="shared" si="36"/>
        <v>1024590</v>
      </c>
      <c r="S20" s="128">
        <f t="shared" si="36"/>
        <v>1024590</v>
      </c>
      <c r="T20" s="128">
        <f t="shared" ref="T20:AI23" si="37">ROUND(T$11*$C20,0)</f>
        <v>1024590</v>
      </c>
      <c r="U20" s="128">
        <f t="shared" si="37"/>
        <v>1024590</v>
      </c>
      <c r="V20" s="128">
        <f t="shared" si="37"/>
        <v>1024590</v>
      </c>
      <c r="W20" s="128">
        <f t="shared" si="37"/>
        <v>1299480</v>
      </c>
      <c r="X20" s="128">
        <f t="shared" si="37"/>
        <v>1299480</v>
      </c>
      <c r="Y20" s="128">
        <f t="shared" si="37"/>
        <v>1299480</v>
      </c>
      <c r="Z20" s="128">
        <f t="shared" si="37"/>
        <v>1299480</v>
      </c>
      <c r="AA20" s="128">
        <f t="shared" si="37"/>
        <v>1299480</v>
      </c>
      <c r="AB20" s="128">
        <f t="shared" si="37"/>
        <v>1299480</v>
      </c>
      <c r="AC20" s="128">
        <f>SUM(P20:AB20)</f>
        <v>14782984</v>
      </c>
      <c r="AD20" s="128">
        <f t="shared" si="37"/>
        <v>1511895</v>
      </c>
      <c r="AE20" s="128">
        <f t="shared" si="37"/>
        <v>1511895</v>
      </c>
      <c r="AF20" s="128">
        <f t="shared" si="37"/>
        <v>1511895</v>
      </c>
      <c r="AG20" s="128">
        <f t="shared" si="37"/>
        <v>1511895</v>
      </c>
      <c r="AH20" s="128">
        <f t="shared" si="37"/>
        <v>1511895</v>
      </c>
      <c r="AI20" s="128">
        <f t="shared" si="37"/>
        <v>1511895</v>
      </c>
      <c r="AJ20" s="128">
        <f t="shared" ref="AJ20:AO23" si="38">ROUND(AJ$11*$C20,0)</f>
        <v>1511895</v>
      </c>
      <c r="AK20" s="128">
        <f t="shared" si="38"/>
        <v>1511895</v>
      </c>
      <c r="AL20" s="128">
        <f t="shared" si="38"/>
        <v>1511895</v>
      </c>
      <c r="AM20" s="128">
        <f t="shared" si="38"/>
        <v>1511895</v>
      </c>
      <c r="AN20" s="128">
        <f t="shared" si="38"/>
        <v>1511895</v>
      </c>
      <c r="AO20" s="128">
        <f t="shared" si="38"/>
        <v>1511895</v>
      </c>
      <c r="AP20" s="128">
        <f>SUM(AC20:AO20)</f>
        <v>32925724</v>
      </c>
      <c r="AQ20" s="238">
        <f t="shared" ref="AQ20:BF23" si="39">ROUND(AQ$11*$C20,0)</f>
        <v>1553545</v>
      </c>
      <c r="AR20" s="128">
        <f t="shared" si="39"/>
        <v>1553545</v>
      </c>
      <c r="AS20" s="128">
        <f t="shared" si="39"/>
        <v>1553545</v>
      </c>
      <c r="AT20" s="128">
        <f t="shared" si="39"/>
        <v>1553545</v>
      </c>
      <c r="AU20" s="128">
        <f t="shared" si="39"/>
        <v>1553545</v>
      </c>
      <c r="AV20" s="128">
        <f t="shared" si="39"/>
        <v>1553545</v>
      </c>
      <c r="AW20" s="128">
        <f t="shared" si="39"/>
        <v>1553545</v>
      </c>
      <c r="AX20" s="128">
        <f t="shared" si="39"/>
        <v>1553545</v>
      </c>
      <c r="AY20" s="128">
        <f t="shared" si="39"/>
        <v>1553545</v>
      </c>
      <c r="AZ20" s="128">
        <f t="shared" si="39"/>
        <v>1553545</v>
      </c>
      <c r="BA20" s="128">
        <f t="shared" si="39"/>
        <v>1553545</v>
      </c>
      <c r="BB20" s="128">
        <f t="shared" si="39"/>
        <v>1553545</v>
      </c>
      <c r="BC20" s="128">
        <f>SUM(AP20:BB20)</f>
        <v>51568264</v>
      </c>
      <c r="BD20" s="238">
        <f t="shared" si="39"/>
        <v>1595195</v>
      </c>
      <c r="BE20" s="128">
        <f t="shared" si="39"/>
        <v>1595195</v>
      </c>
      <c r="BF20" s="128">
        <f t="shared" si="39"/>
        <v>1595195</v>
      </c>
      <c r="BG20" s="128">
        <f t="shared" ref="BD20:BO23" si="40">ROUND(BG$11*$C20,0)</f>
        <v>1595195</v>
      </c>
      <c r="BH20" s="128">
        <f t="shared" si="40"/>
        <v>1595195</v>
      </c>
      <c r="BI20" s="128">
        <f t="shared" si="40"/>
        <v>1595195</v>
      </c>
      <c r="BJ20" s="128">
        <f t="shared" si="40"/>
        <v>1595195</v>
      </c>
      <c r="BK20" s="128">
        <f t="shared" si="40"/>
        <v>1595195</v>
      </c>
      <c r="BL20" s="128">
        <f t="shared" si="40"/>
        <v>1595195</v>
      </c>
      <c r="BM20" s="128">
        <f t="shared" si="40"/>
        <v>1595195</v>
      </c>
      <c r="BN20" s="128">
        <f t="shared" si="40"/>
        <v>1595195</v>
      </c>
      <c r="BO20" s="128">
        <f t="shared" si="40"/>
        <v>1595195</v>
      </c>
      <c r="BP20" s="129">
        <f>SUM(BC20:BO20)</f>
        <v>70710604</v>
      </c>
    </row>
    <row r="21" spans="1:68" x14ac:dyDescent="0.25">
      <c r="A21" s="376"/>
      <c r="B21" s="84" t="s">
        <v>72</v>
      </c>
      <c r="C21" s="87">
        <v>8.3299999999999999E-2</v>
      </c>
      <c r="D21" s="59">
        <f t="shared" si="36"/>
        <v>610872</v>
      </c>
      <c r="E21" s="59">
        <f t="shared" si="36"/>
        <v>610872</v>
      </c>
      <c r="F21" s="59">
        <f t="shared" si="36"/>
        <v>610872</v>
      </c>
      <c r="G21" s="59">
        <f t="shared" si="36"/>
        <v>610872</v>
      </c>
      <c r="H21" s="59">
        <f t="shared" si="36"/>
        <v>610872</v>
      </c>
      <c r="I21" s="59">
        <f t="shared" si="36"/>
        <v>610872</v>
      </c>
      <c r="J21" s="59">
        <f t="shared" si="36"/>
        <v>838564</v>
      </c>
      <c r="K21" s="59">
        <f t="shared" si="36"/>
        <v>838564</v>
      </c>
      <c r="L21" s="59">
        <f t="shared" si="36"/>
        <v>838564</v>
      </c>
      <c r="M21" s="59">
        <f t="shared" si="36"/>
        <v>838564</v>
      </c>
      <c r="N21" s="59">
        <f t="shared" si="36"/>
        <v>838564</v>
      </c>
      <c r="O21" s="59">
        <f t="shared" si="36"/>
        <v>838564</v>
      </c>
      <c r="P21" s="59">
        <f t="shared" si="26"/>
        <v>838564</v>
      </c>
      <c r="Q21" s="59">
        <f t="shared" si="36"/>
        <v>1024590</v>
      </c>
      <c r="R21" s="59">
        <f t="shared" si="36"/>
        <v>1024590</v>
      </c>
      <c r="S21" s="59">
        <f t="shared" si="36"/>
        <v>1024590</v>
      </c>
      <c r="T21" s="59">
        <f t="shared" si="37"/>
        <v>1024590</v>
      </c>
      <c r="U21" s="59">
        <f t="shared" si="37"/>
        <v>1024590</v>
      </c>
      <c r="V21" s="59">
        <f t="shared" si="37"/>
        <v>1024590</v>
      </c>
      <c r="W21" s="59">
        <f t="shared" si="37"/>
        <v>1299480</v>
      </c>
      <c r="X21" s="59">
        <f t="shared" si="37"/>
        <v>1299480</v>
      </c>
      <c r="Y21" s="59">
        <f t="shared" si="37"/>
        <v>1299480</v>
      </c>
      <c r="Z21" s="59">
        <f t="shared" si="37"/>
        <v>1299480</v>
      </c>
      <c r="AA21" s="59">
        <f t="shared" si="37"/>
        <v>1299480</v>
      </c>
      <c r="AB21" s="59">
        <f t="shared" si="37"/>
        <v>1299480</v>
      </c>
      <c r="AC21" s="59">
        <f>SUM(P21:AB21)</f>
        <v>14782984</v>
      </c>
      <c r="AD21" s="59">
        <f t="shared" si="37"/>
        <v>1511895</v>
      </c>
      <c r="AE21" s="59">
        <f t="shared" si="37"/>
        <v>1511895</v>
      </c>
      <c r="AF21" s="59">
        <f t="shared" si="37"/>
        <v>1511895</v>
      </c>
      <c r="AG21" s="59">
        <f t="shared" si="37"/>
        <v>1511895</v>
      </c>
      <c r="AH21" s="59">
        <f t="shared" si="37"/>
        <v>1511895</v>
      </c>
      <c r="AI21" s="59">
        <f t="shared" si="37"/>
        <v>1511895</v>
      </c>
      <c r="AJ21" s="59">
        <f t="shared" si="38"/>
        <v>1511895</v>
      </c>
      <c r="AK21" s="59">
        <f t="shared" si="38"/>
        <v>1511895</v>
      </c>
      <c r="AL21" s="59">
        <f t="shared" si="38"/>
        <v>1511895</v>
      </c>
      <c r="AM21" s="59">
        <f t="shared" si="38"/>
        <v>1511895</v>
      </c>
      <c r="AN21" s="59">
        <f t="shared" si="38"/>
        <v>1511895</v>
      </c>
      <c r="AO21" s="59">
        <f t="shared" si="38"/>
        <v>1511895</v>
      </c>
      <c r="AP21" s="59">
        <f>SUM(AC21:AO21)</f>
        <v>32925724</v>
      </c>
      <c r="AQ21" s="239">
        <f t="shared" si="39"/>
        <v>1553545</v>
      </c>
      <c r="AR21" s="59">
        <f t="shared" si="39"/>
        <v>1553545</v>
      </c>
      <c r="AS21" s="59">
        <f t="shared" si="39"/>
        <v>1553545</v>
      </c>
      <c r="AT21" s="59">
        <f t="shared" si="39"/>
        <v>1553545</v>
      </c>
      <c r="AU21" s="59">
        <f t="shared" si="39"/>
        <v>1553545</v>
      </c>
      <c r="AV21" s="59">
        <f t="shared" si="39"/>
        <v>1553545</v>
      </c>
      <c r="AW21" s="59">
        <f t="shared" si="39"/>
        <v>1553545</v>
      </c>
      <c r="AX21" s="59">
        <f t="shared" si="39"/>
        <v>1553545</v>
      </c>
      <c r="AY21" s="59">
        <f t="shared" si="39"/>
        <v>1553545</v>
      </c>
      <c r="AZ21" s="59">
        <f t="shared" si="39"/>
        <v>1553545</v>
      </c>
      <c r="BA21" s="59">
        <f t="shared" si="39"/>
        <v>1553545</v>
      </c>
      <c r="BB21" s="59">
        <f t="shared" si="39"/>
        <v>1553545</v>
      </c>
      <c r="BC21" s="59">
        <f>SUM(AP21:BB21)</f>
        <v>51568264</v>
      </c>
      <c r="BD21" s="239">
        <f t="shared" si="40"/>
        <v>1595195</v>
      </c>
      <c r="BE21" s="59">
        <f t="shared" si="40"/>
        <v>1595195</v>
      </c>
      <c r="BF21" s="59">
        <f t="shared" si="40"/>
        <v>1595195</v>
      </c>
      <c r="BG21" s="59">
        <f t="shared" si="40"/>
        <v>1595195</v>
      </c>
      <c r="BH21" s="59">
        <f t="shared" si="40"/>
        <v>1595195</v>
      </c>
      <c r="BI21" s="59">
        <f t="shared" si="40"/>
        <v>1595195</v>
      </c>
      <c r="BJ21" s="59">
        <f t="shared" si="40"/>
        <v>1595195</v>
      </c>
      <c r="BK21" s="59">
        <f t="shared" si="40"/>
        <v>1595195</v>
      </c>
      <c r="BL21" s="59">
        <f t="shared" si="40"/>
        <v>1595195</v>
      </c>
      <c r="BM21" s="59">
        <f t="shared" si="40"/>
        <v>1595195</v>
      </c>
      <c r="BN21" s="59">
        <f t="shared" si="40"/>
        <v>1595195</v>
      </c>
      <c r="BO21" s="59">
        <f t="shared" si="40"/>
        <v>1595195</v>
      </c>
      <c r="BP21" s="90">
        <f>SUM(BC21:BO21)</f>
        <v>70710604</v>
      </c>
    </row>
    <row r="22" spans="1:68" x14ac:dyDescent="0.25">
      <c r="A22" s="376"/>
      <c r="B22" s="84" t="s">
        <v>73</v>
      </c>
      <c r="C22" s="87">
        <v>4.1700000000000001E-2</v>
      </c>
      <c r="D22" s="59">
        <f t="shared" si="36"/>
        <v>305803</v>
      </c>
      <c r="E22" s="59">
        <f t="shared" si="36"/>
        <v>305803</v>
      </c>
      <c r="F22" s="59">
        <f t="shared" si="36"/>
        <v>305803</v>
      </c>
      <c r="G22" s="59">
        <f t="shared" si="36"/>
        <v>305803</v>
      </c>
      <c r="H22" s="59">
        <f t="shared" si="36"/>
        <v>305803</v>
      </c>
      <c r="I22" s="59">
        <f t="shared" si="36"/>
        <v>305803</v>
      </c>
      <c r="J22" s="59">
        <f t="shared" si="36"/>
        <v>419786</v>
      </c>
      <c r="K22" s="59">
        <f t="shared" si="36"/>
        <v>419786</v>
      </c>
      <c r="L22" s="59">
        <f t="shared" si="36"/>
        <v>419786</v>
      </c>
      <c r="M22" s="59">
        <f t="shared" si="36"/>
        <v>419786</v>
      </c>
      <c r="N22" s="59">
        <f t="shared" si="36"/>
        <v>419786</v>
      </c>
      <c r="O22" s="59">
        <f t="shared" si="36"/>
        <v>419786</v>
      </c>
      <c r="P22" s="59">
        <f t="shared" si="26"/>
        <v>419786</v>
      </c>
      <c r="Q22" s="59">
        <f t="shared" si="36"/>
        <v>512910</v>
      </c>
      <c r="R22" s="59">
        <f t="shared" si="36"/>
        <v>512910</v>
      </c>
      <c r="S22" s="59">
        <f t="shared" si="36"/>
        <v>512910</v>
      </c>
      <c r="T22" s="59">
        <f t="shared" si="37"/>
        <v>512910</v>
      </c>
      <c r="U22" s="59">
        <f t="shared" si="37"/>
        <v>512910</v>
      </c>
      <c r="V22" s="59">
        <f t="shared" si="37"/>
        <v>512910</v>
      </c>
      <c r="W22" s="59">
        <f t="shared" si="37"/>
        <v>650520</v>
      </c>
      <c r="X22" s="59">
        <f t="shared" si="37"/>
        <v>650520</v>
      </c>
      <c r="Y22" s="59">
        <f t="shared" si="37"/>
        <v>650520</v>
      </c>
      <c r="Z22" s="59">
        <f t="shared" si="37"/>
        <v>650520</v>
      </c>
      <c r="AA22" s="59">
        <f t="shared" si="37"/>
        <v>650520</v>
      </c>
      <c r="AB22" s="59">
        <f t="shared" si="37"/>
        <v>650520</v>
      </c>
      <c r="AC22" s="59">
        <f>SUM(P22:AB22)</f>
        <v>7400366</v>
      </c>
      <c r="AD22" s="59">
        <f t="shared" si="37"/>
        <v>756855</v>
      </c>
      <c r="AE22" s="59">
        <f t="shared" si="37"/>
        <v>756855</v>
      </c>
      <c r="AF22" s="59">
        <f t="shared" si="37"/>
        <v>756855</v>
      </c>
      <c r="AG22" s="59">
        <f t="shared" si="37"/>
        <v>756855</v>
      </c>
      <c r="AH22" s="59">
        <f t="shared" si="37"/>
        <v>756855</v>
      </c>
      <c r="AI22" s="59">
        <f t="shared" si="37"/>
        <v>756855</v>
      </c>
      <c r="AJ22" s="59">
        <f t="shared" si="38"/>
        <v>756855</v>
      </c>
      <c r="AK22" s="59">
        <f t="shared" si="38"/>
        <v>756855</v>
      </c>
      <c r="AL22" s="59">
        <f t="shared" si="38"/>
        <v>756855</v>
      </c>
      <c r="AM22" s="59">
        <f t="shared" si="38"/>
        <v>756855</v>
      </c>
      <c r="AN22" s="59">
        <f t="shared" si="38"/>
        <v>756855</v>
      </c>
      <c r="AO22" s="59">
        <f t="shared" si="38"/>
        <v>756855</v>
      </c>
      <c r="AP22" s="59">
        <f>SUM(AC22:AO22)</f>
        <v>16482626</v>
      </c>
      <c r="AQ22" s="239">
        <f t="shared" si="39"/>
        <v>777705</v>
      </c>
      <c r="AR22" s="59">
        <f t="shared" si="39"/>
        <v>777705</v>
      </c>
      <c r="AS22" s="59">
        <f t="shared" si="39"/>
        <v>777705</v>
      </c>
      <c r="AT22" s="59">
        <f t="shared" si="39"/>
        <v>777705</v>
      </c>
      <c r="AU22" s="59">
        <f t="shared" si="39"/>
        <v>777705</v>
      </c>
      <c r="AV22" s="59">
        <f t="shared" si="39"/>
        <v>777705</v>
      </c>
      <c r="AW22" s="59">
        <f t="shared" si="39"/>
        <v>777705</v>
      </c>
      <c r="AX22" s="59">
        <f t="shared" si="39"/>
        <v>777705</v>
      </c>
      <c r="AY22" s="59">
        <f t="shared" si="39"/>
        <v>777705</v>
      </c>
      <c r="AZ22" s="59">
        <f t="shared" si="39"/>
        <v>777705</v>
      </c>
      <c r="BA22" s="59">
        <f t="shared" si="39"/>
        <v>777705</v>
      </c>
      <c r="BB22" s="59">
        <f t="shared" si="39"/>
        <v>777705</v>
      </c>
      <c r="BC22" s="59">
        <f>SUM(AP22:BB22)</f>
        <v>25815086</v>
      </c>
      <c r="BD22" s="239">
        <f t="shared" si="40"/>
        <v>798555</v>
      </c>
      <c r="BE22" s="59">
        <f t="shared" si="40"/>
        <v>798555</v>
      </c>
      <c r="BF22" s="59">
        <f t="shared" si="40"/>
        <v>798555</v>
      </c>
      <c r="BG22" s="59">
        <f t="shared" si="40"/>
        <v>798555</v>
      </c>
      <c r="BH22" s="59">
        <f t="shared" si="40"/>
        <v>798555</v>
      </c>
      <c r="BI22" s="59">
        <f t="shared" si="40"/>
        <v>798555</v>
      </c>
      <c r="BJ22" s="59">
        <f t="shared" si="40"/>
        <v>798555</v>
      </c>
      <c r="BK22" s="59">
        <f t="shared" si="40"/>
        <v>798555</v>
      </c>
      <c r="BL22" s="59">
        <f t="shared" si="40"/>
        <v>798555</v>
      </c>
      <c r="BM22" s="59">
        <f t="shared" si="40"/>
        <v>798555</v>
      </c>
      <c r="BN22" s="59">
        <f t="shared" si="40"/>
        <v>798555</v>
      </c>
      <c r="BO22" s="59">
        <f t="shared" si="40"/>
        <v>798555</v>
      </c>
      <c r="BP22" s="90">
        <f>SUM(BC22:BO22)</f>
        <v>35397746</v>
      </c>
    </row>
    <row r="23" spans="1:68" x14ac:dyDescent="0.25">
      <c r="A23" s="376"/>
      <c r="B23" s="84" t="s">
        <v>74</v>
      </c>
      <c r="C23" s="62">
        <v>0.01</v>
      </c>
      <c r="D23" s="59">
        <f t="shared" si="36"/>
        <v>73334</v>
      </c>
      <c r="E23" s="59">
        <f t="shared" si="36"/>
        <v>73334</v>
      </c>
      <c r="F23" s="59">
        <f t="shared" si="36"/>
        <v>73334</v>
      </c>
      <c r="G23" s="59">
        <f t="shared" si="36"/>
        <v>73334</v>
      </c>
      <c r="H23" s="59">
        <f t="shared" si="36"/>
        <v>73334</v>
      </c>
      <c r="I23" s="59">
        <f t="shared" si="36"/>
        <v>73334</v>
      </c>
      <c r="J23" s="59">
        <f t="shared" si="36"/>
        <v>100668</v>
      </c>
      <c r="K23" s="59">
        <f t="shared" si="36"/>
        <v>100668</v>
      </c>
      <c r="L23" s="59">
        <f t="shared" si="36"/>
        <v>100668</v>
      </c>
      <c r="M23" s="59">
        <f t="shared" si="36"/>
        <v>100668</v>
      </c>
      <c r="N23" s="59">
        <f t="shared" si="36"/>
        <v>100668</v>
      </c>
      <c r="O23" s="59">
        <f t="shared" si="36"/>
        <v>100668</v>
      </c>
      <c r="P23" s="59">
        <f t="shared" si="26"/>
        <v>100668</v>
      </c>
      <c r="Q23" s="59">
        <f t="shared" si="36"/>
        <v>123000</v>
      </c>
      <c r="R23" s="59">
        <f t="shared" si="36"/>
        <v>123000</v>
      </c>
      <c r="S23" s="59">
        <f t="shared" si="36"/>
        <v>123000</v>
      </c>
      <c r="T23" s="59">
        <f t="shared" si="37"/>
        <v>123000</v>
      </c>
      <c r="U23" s="59">
        <f t="shared" si="37"/>
        <v>123000</v>
      </c>
      <c r="V23" s="59">
        <f t="shared" si="37"/>
        <v>123000</v>
      </c>
      <c r="W23" s="59">
        <f t="shared" si="37"/>
        <v>156000</v>
      </c>
      <c r="X23" s="59">
        <f t="shared" si="37"/>
        <v>156000</v>
      </c>
      <c r="Y23" s="59">
        <f t="shared" si="37"/>
        <v>156000</v>
      </c>
      <c r="Z23" s="59">
        <f t="shared" si="37"/>
        <v>156000</v>
      </c>
      <c r="AA23" s="59">
        <f t="shared" si="37"/>
        <v>156000</v>
      </c>
      <c r="AB23" s="59">
        <f t="shared" si="37"/>
        <v>156000</v>
      </c>
      <c r="AC23" s="59">
        <f>SUM(P23:AB23)</f>
        <v>1774668</v>
      </c>
      <c r="AD23" s="59">
        <f t="shared" si="37"/>
        <v>181500</v>
      </c>
      <c r="AE23" s="59">
        <f t="shared" si="37"/>
        <v>181500</v>
      </c>
      <c r="AF23" s="59">
        <f t="shared" si="37"/>
        <v>181500</v>
      </c>
      <c r="AG23" s="59">
        <f t="shared" si="37"/>
        <v>181500</v>
      </c>
      <c r="AH23" s="59">
        <f t="shared" si="37"/>
        <v>181500</v>
      </c>
      <c r="AI23" s="59">
        <f t="shared" si="37"/>
        <v>181500</v>
      </c>
      <c r="AJ23" s="59">
        <f t="shared" si="38"/>
        <v>181500</v>
      </c>
      <c r="AK23" s="59">
        <f t="shared" si="38"/>
        <v>181500</v>
      </c>
      <c r="AL23" s="59">
        <f t="shared" si="38"/>
        <v>181500</v>
      </c>
      <c r="AM23" s="59">
        <f t="shared" si="38"/>
        <v>181500</v>
      </c>
      <c r="AN23" s="59">
        <f t="shared" si="38"/>
        <v>181500</v>
      </c>
      <c r="AO23" s="59">
        <f t="shared" si="38"/>
        <v>181500</v>
      </c>
      <c r="AP23" s="59">
        <f>SUM(AC23:AO23)</f>
        <v>3952668</v>
      </c>
      <c r="AQ23" s="239">
        <f t="shared" si="39"/>
        <v>186500</v>
      </c>
      <c r="AR23" s="59">
        <f t="shared" si="39"/>
        <v>186500</v>
      </c>
      <c r="AS23" s="59">
        <f t="shared" si="39"/>
        <v>186500</v>
      </c>
      <c r="AT23" s="59">
        <f t="shared" si="39"/>
        <v>186500</v>
      </c>
      <c r="AU23" s="59">
        <f t="shared" si="39"/>
        <v>186500</v>
      </c>
      <c r="AV23" s="59">
        <f t="shared" si="39"/>
        <v>186500</v>
      </c>
      <c r="AW23" s="59">
        <f t="shared" si="39"/>
        <v>186500</v>
      </c>
      <c r="AX23" s="59">
        <f t="shared" si="39"/>
        <v>186500</v>
      </c>
      <c r="AY23" s="59">
        <f t="shared" si="39"/>
        <v>186500</v>
      </c>
      <c r="AZ23" s="59">
        <f t="shared" si="39"/>
        <v>186500</v>
      </c>
      <c r="BA23" s="59">
        <f t="shared" si="39"/>
        <v>186500</v>
      </c>
      <c r="BB23" s="59">
        <f t="shared" si="39"/>
        <v>186500</v>
      </c>
      <c r="BC23" s="59">
        <f>SUM(AP23:BB23)</f>
        <v>6190668</v>
      </c>
      <c r="BD23" s="239">
        <f t="shared" si="40"/>
        <v>191500</v>
      </c>
      <c r="BE23" s="59">
        <f t="shared" si="40"/>
        <v>191500</v>
      </c>
      <c r="BF23" s="59">
        <f t="shared" si="40"/>
        <v>191500</v>
      </c>
      <c r="BG23" s="59">
        <f t="shared" si="40"/>
        <v>191500</v>
      </c>
      <c r="BH23" s="59">
        <f t="shared" si="40"/>
        <v>191500</v>
      </c>
      <c r="BI23" s="59">
        <f t="shared" si="40"/>
        <v>191500</v>
      </c>
      <c r="BJ23" s="59">
        <f t="shared" si="40"/>
        <v>191500</v>
      </c>
      <c r="BK23" s="59">
        <f t="shared" si="40"/>
        <v>191500</v>
      </c>
      <c r="BL23" s="59">
        <f t="shared" si="40"/>
        <v>191500</v>
      </c>
      <c r="BM23" s="59">
        <f t="shared" si="40"/>
        <v>191500</v>
      </c>
      <c r="BN23" s="59">
        <f t="shared" si="40"/>
        <v>191500</v>
      </c>
      <c r="BO23" s="59">
        <f t="shared" si="40"/>
        <v>191500</v>
      </c>
      <c r="BP23" s="90">
        <f>SUM(BC23:BO23)</f>
        <v>8488668</v>
      </c>
    </row>
    <row r="24" spans="1:68" ht="15.75" thickBot="1" x14ac:dyDescent="0.3">
      <c r="A24" s="377"/>
      <c r="B24" s="130" t="s">
        <v>201</v>
      </c>
      <c r="C24" s="131">
        <v>0</v>
      </c>
      <c r="D24" s="132">
        <f>SUM(D20:D23)</f>
        <v>1600881</v>
      </c>
      <c r="E24" s="132">
        <f t="shared" ref="E24:AB24" si="41">SUM(E20:E23)</f>
        <v>1600881</v>
      </c>
      <c r="F24" s="132">
        <f t="shared" si="41"/>
        <v>1600881</v>
      </c>
      <c r="G24" s="132">
        <f t="shared" si="41"/>
        <v>1600881</v>
      </c>
      <c r="H24" s="132">
        <f t="shared" si="41"/>
        <v>1600881</v>
      </c>
      <c r="I24" s="132">
        <f t="shared" si="41"/>
        <v>1600881</v>
      </c>
      <c r="J24" s="132">
        <f t="shared" si="41"/>
        <v>2197582</v>
      </c>
      <c r="K24" s="132">
        <f t="shared" si="41"/>
        <v>2197582</v>
      </c>
      <c r="L24" s="132">
        <f t="shared" si="41"/>
        <v>2197582</v>
      </c>
      <c r="M24" s="132">
        <f t="shared" si="41"/>
        <v>2197582</v>
      </c>
      <c r="N24" s="132">
        <f t="shared" si="41"/>
        <v>2197582</v>
      </c>
      <c r="O24" s="132">
        <f t="shared" si="41"/>
        <v>2197582</v>
      </c>
      <c r="P24" s="132">
        <f>SUM(D24:O24)</f>
        <v>22790778</v>
      </c>
      <c r="Q24" s="132">
        <f t="shared" si="41"/>
        <v>2685090</v>
      </c>
      <c r="R24" s="132">
        <f t="shared" si="41"/>
        <v>2685090</v>
      </c>
      <c r="S24" s="132">
        <f t="shared" si="41"/>
        <v>2685090</v>
      </c>
      <c r="T24" s="132">
        <f t="shared" si="41"/>
        <v>2685090</v>
      </c>
      <c r="U24" s="132">
        <f t="shared" si="41"/>
        <v>2685090</v>
      </c>
      <c r="V24" s="132">
        <f t="shared" si="41"/>
        <v>2685090</v>
      </c>
      <c r="W24" s="132">
        <f t="shared" si="41"/>
        <v>3405480</v>
      </c>
      <c r="X24" s="132">
        <f t="shared" si="41"/>
        <v>3405480</v>
      </c>
      <c r="Y24" s="132">
        <f t="shared" si="41"/>
        <v>3405480</v>
      </c>
      <c r="Z24" s="132">
        <f t="shared" si="41"/>
        <v>3405480</v>
      </c>
      <c r="AA24" s="132">
        <f t="shared" si="41"/>
        <v>3405480</v>
      </c>
      <c r="AB24" s="132">
        <f t="shared" si="41"/>
        <v>3405480</v>
      </c>
      <c r="AC24" s="133">
        <f>SUM(Q24:AB24)</f>
        <v>36543420</v>
      </c>
      <c r="AD24" s="132">
        <f t="shared" ref="AD24:AO24" si="42">SUM(AD20:AD23)</f>
        <v>3962145</v>
      </c>
      <c r="AE24" s="132">
        <f t="shared" si="42"/>
        <v>3962145</v>
      </c>
      <c r="AF24" s="132">
        <f t="shared" si="42"/>
        <v>3962145</v>
      </c>
      <c r="AG24" s="132">
        <f t="shared" si="42"/>
        <v>3962145</v>
      </c>
      <c r="AH24" s="132">
        <f t="shared" si="42"/>
        <v>3962145</v>
      </c>
      <c r="AI24" s="132">
        <f t="shared" si="42"/>
        <v>3962145</v>
      </c>
      <c r="AJ24" s="132">
        <f t="shared" si="42"/>
        <v>3962145</v>
      </c>
      <c r="AK24" s="132">
        <f t="shared" si="42"/>
        <v>3962145</v>
      </c>
      <c r="AL24" s="132">
        <f t="shared" si="42"/>
        <v>3962145</v>
      </c>
      <c r="AM24" s="132">
        <f t="shared" si="42"/>
        <v>3962145</v>
      </c>
      <c r="AN24" s="132">
        <f t="shared" si="42"/>
        <v>3962145</v>
      </c>
      <c r="AO24" s="132">
        <f t="shared" si="42"/>
        <v>3962145</v>
      </c>
      <c r="AP24" s="133">
        <f>SUM(AD24:AO24)</f>
        <v>47545740</v>
      </c>
      <c r="AQ24" s="237">
        <f t="shared" ref="AQ24:BB24" si="43">SUM(AQ20:AQ23)</f>
        <v>4071295</v>
      </c>
      <c r="AR24" s="132">
        <f t="shared" si="43"/>
        <v>4071295</v>
      </c>
      <c r="AS24" s="132">
        <f t="shared" si="43"/>
        <v>4071295</v>
      </c>
      <c r="AT24" s="132">
        <f t="shared" si="43"/>
        <v>4071295</v>
      </c>
      <c r="AU24" s="132">
        <f t="shared" si="43"/>
        <v>4071295</v>
      </c>
      <c r="AV24" s="132">
        <f t="shared" si="43"/>
        <v>4071295</v>
      </c>
      <c r="AW24" s="132">
        <f t="shared" si="43"/>
        <v>4071295</v>
      </c>
      <c r="AX24" s="132">
        <f t="shared" si="43"/>
        <v>4071295</v>
      </c>
      <c r="AY24" s="132">
        <f t="shared" si="43"/>
        <v>4071295</v>
      </c>
      <c r="AZ24" s="132">
        <f t="shared" si="43"/>
        <v>4071295</v>
      </c>
      <c r="BA24" s="132">
        <f t="shared" si="43"/>
        <v>4071295</v>
      </c>
      <c r="BB24" s="132">
        <f t="shared" si="43"/>
        <v>4071295</v>
      </c>
      <c r="BC24" s="133">
        <f>SUM(AQ24:BB24)</f>
        <v>48855540</v>
      </c>
      <c r="BD24" s="237">
        <f t="shared" ref="BD24:BO24" si="44">SUM(BD20:BD23)</f>
        <v>4180445</v>
      </c>
      <c r="BE24" s="132">
        <f t="shared" si="44"/>
        <v>4180445</v>
      </c>
      <c r="BF24" s="132">
        <f t="shared" si="44"/>
        <v>4180445</v>
      </c>
      <c r="BG24" s="132">
        <f t="shared" si="44"/>
        <v>4180445</v>
      </c>
      <c r="BH24" s="132">
        <f t="shared" si="44"/>
        <v>4180445</v>
      </c>
      <c r="BI24" s="132">
        <f t="shared" si="44"/>
        <v>4180445</v>
      </c>
      <c r="BJ24" s="132">
        <f t="shared" si="44"/>
        <v>4180445</v>
      </c>
      <c r="BK24" s="132">
        <f t="shared" si="44"/>
        <v>4180445</v>
      </c>
      <c r="BL24" s="132">
        <f t="shared" si="44"/>
        <v>4180445</v>
      </c>
      <c r="BM24" s="132">
        <f t="shared" si="44"/>
        <v>4180445</v>
      </c>
      <c r="BN24" s="132">
        <f t="shared" si="44"/>
        <v>4180445</v>
      </c>
      <c r="BO24" s="132">
        <f t="shared" si="44"/>
        <v>4180445</v>
      </c>
      <c r="BP24" s="134">
        <f>SUM(BD24:BO24)</f>
        <v>50165340</v>
      </c>
    </row>
    <row r="25" spans="1:68" ht="15" customHeight="1" x14ac:dyDescent="0.25">
      <c r="A25" s="373" t="s">
        <v>241</v>
      </c>
      <c r="B25" s="140" t="s">
        <v>239</v>
      </c>
      <c r="C25" s="141">
        <v>0</v>
      </c>
      <c r="D25" s="124">
        <v>67800</v>
      </c>
      <c r="E25" s="124">
        <f t="shared" ref="E25:O25" si="45">+D25</f>
        <v>67800</v>
      </c>
      <c r="F25" s="124">
        <f t="shared" si="45"/>
        <v>67800</v>
      </c>
      <c r="G25" s="124">
        <f t="shared" si="45"/>
        <v>67800</v>
      </c>
      <c r="H25" s="124">
        <f t="shared" si="45"/>
        <v>67800</v>
      </c>
      <c r="I25" s="124">
        <f t="shared" si="45"/>
        <v>67800</v>
      </c>
      <c r="J25" s="124">
        <f t="shared" si="45"/>
        <v>67800</v>
      </c>
      <c r="K25" s="124">
        <f t="shared" si="45"/>
        <v>67800</v>
      </c>
      <c r="L25" s="124">
        <f t="shared" si="45"/>
        <v>67800</v>
      </c>
      <c r="M25" s="124">
        <f t="shared" si="45"/>
        <v>67800</v>
      </c>
      <c r="N25" s="124">
        <f t="shared" si="45"/>
        <v>67800</v>
      </c>
      <c r="O25" s="124">
        <f t="shared" si="45"/>
        <v>67800</v>
      </c>
      <c r="P25" s="124">
        <f t="shared" si="26"/>
        <v>67800</v>
      </c>
      <c r="Q25" s="142">
        <f>ROUND(O25*(1+O$10),0)</f>
        <v>70512</v>
      </c>
      <c r="R25" s="142">
        <f t="shared" ref="R25:AB25" si="46">+Q25</f>
        <v>70512</v>
      </c>
      <c r="S25" s="142">
        <f t="shared" si="46"/>
        <v>70512</v>
      </c>
      <c r="T25" s="142">
        <f t="shared" si="46"/>
        <v>70512</v>
      </c>
      <c r="U25" s="142">
        <f t="shared" si="46"/>
        <v>70512</v>
      </c>
      <c r="V25" s="142">
        <f t="shared" si="46"/>
        <v>70512</v>
      </c>
      <c r="W25" s="142">
        <f t="shared" si="46"/>
        <v>70512</v>
      </c>
      <c r="X25" s="142">
        <f t="shared" si="46"/>
        <v>70512</v>
      </c>
      <c r="Y25" s="142">
        <f t="shared" si="46"/>
        <v>70512</v>
      </c>
      <c r="Z25" s="142">
        <f t="shared" si="46"/>
        <v>70512</v>
      </c>
      <c r="AA25" s="142">
        <f t="shared" si="46"/>
        <v>70512</v>
      </c>
      <c r="AB25" s="142">
        <f t="shared" si="46"/>
        <v>70512</v>
      </c>
      <c r="AC25" s="124">
        <f>SUM(P25:AB25)</f>
        <v>913944</v>
      </c>
      <c r="AD25" s="142">
        <f>ROUND(AB25*(1+AB$10),0)</f>
        <v>73332</v>
      </c>
      <c r="AE25" s="142">
        <f t="shared" ref="AE25:AO25" si="47">+AD25</f>
        <v>73332</v>
      </c>
      <c r="AF25" s="142">
        <f t="shared" si="47"/>
        <v>73332</v>
      </c>
      <c r="AG25" s="142">
        <f t="shared" si="47"/>
        <v>73332</v>
      </c>
      <c r="AH25" s="142">
        <f t="shared" si="47"/>
        <v>73332</v>
      </c>
      <c r="AI25" s="142">
        <f t="shared" si="47"/>
        <v>73332</v>
      </c>
      <c r="AJ25" s="142">
        <f t="shared" si="47"/>
        <v>73332</v>
      </c>
      <c r="AK25" s="142">
        <f t="shared" si="47"/>
        <v>73332</v>
      </c>
      <c r="AL25" s="142">
        <f t="shared" si="47"/>
        <v>73332</v>
      </c>
      <c r="AM25" s="142">
        <f t="shared" si="47"/>
        <v>73332</v>
      </c>
      <c r="AN25" s="142">
        <f t="shared" si="47"/>
        <v>73332</v>
      </c>
      <c r="AO25" s="142">
        <f t="shared" si="47"/>
        <v>73332</v>
      </c>
      <c r="AP25" s="124">
        <f>SUM(AC25:AO25)</f>
        <v>1793928</v>
      </c>
      <c r="AQ25" s="242">
        <f>ROUND(AO25*(1+AO$10),0)</f>
        <v>76265</v>
      </c>
      <c r="AR25" s="142">
        <f t="shared" ref="AR25:BB25" si="48">+AQ25</f>
        <v>76265</v>
      </c>
      <c r="AS25" s="142">
        <f t="shared" si="48"/>
        <v>76265</v>
      </c>
      <c r="AT25" s="142">
        <f t="shared" si="48"/>
        <v>76265</v>
      </c>
      <c r="AU25" s="142">
        <f t="shared" si="48"/>
        <v>76265</v>
      </c>
      <c r="AV25" s="142">
        <f t="shared" si="48"/>
        <v>76265</v>
      </c>
      <c r="AW25" s="142">
        <f t="shared" si="48"/>
        <v>76265</v>
      </c>
      <c r="AX25" s="142">
        <f t="shared" si="48"/>
        <v>76265</v>
      </c>
      <c r="AY25" s="142">
        <f t="shared" si="48"/>
        <v>76265</v>
      </c>
      <c r="AZ25" s="142">
        <f t="shared" si="48"/>
        <v>76265</v>
      </c>
      <c r="BA25" s="142">
        <f t="shared" si="48"/>
        <v>76265</v>
      </c>
      <c r="BB25" s="142">
        <f t="shared" si="48"/>
        <v>76265</v>
      </c>
      <c r="BC25" s="124">
        <f>SUM(AP25:BB25)</f>
        <v>2709108</v>
      </c>
      <c r="BD25" s="242">
        <f>ROUND(BB25*(1+BB$10),0)</f>
        <v>79316</v>
      </c>
      <c r="BE25" s="142">
        <f t="shared" ref="BE25:BO25" si="49">+BD25</f>
        <v>79316</v>
      </c>
      <c r="BF25" s="142">
        <f t="shared" si="49"/>
        <v>79316</v>
      </c>
      <c r="BG25" s="142">
        <f t="shared" si="49"/>
        <v>79316</v>
      </c>
      <c r="BH25" s="142">
        <f t="shared" si="49"/>
        <v>79316</v>
      </c>
      <c r="BI25" s="142">
        <f t="shared" si="49"/>
        <v>79316</v>
      </c>
      <c r="BJ25" s="142">
        <f t="shared" si="49"/>
        <v>79316</v>
      </c>
      <c r="BK25" s="142">
        <f t="shared" si="49"/>
        <v>79316</v>
      </c>
      <c r="BL25" s="142">
        <f t="shared" si="49"/>
        <v>79316</v>
      </c>
      <c r="BM25" s="142">
        <f t="shared" si="49"/>
        <v>79316</v>
      </c>
      <c r="BN25" s="142">
        <f t="shared" si="49"/>
        <v>79316</v>
      </c>
      <c r="BO25" s="142">
        <f t="shared" si="49"/>
        <v>79316</v>
      </c>
      <c r="BP25" s="125">
        <f>SUM(BC25:BO25)</f>
        <v>3660900</v>
      </c>
    </row>
    <row r="26" spans="1:68" ht="15.75" thickBot="1" x14ac:dyDescent="0.3">
      <c r="A26" s="374"/>
      <c r="B26" s="118" t="s">
        <v>240</v>
      </c>
      <c r="C26" s="139">
        <v>0</v>
      </c>
      <c r="D26" s="119">
        <f t="shared" ref="D26:O26" si="50">D25*(D9*2+1)</f>
        <v>339000</v>
      </c>
      <c r="E26" s="119">
        <f t="shared" si="50"/>
        <v>339000</v>
      </c>
      <c r="F26" s="119">
        <f t="shared" si="50"/>
        <v>339000</v>
      </c>
      <c r="G26" s="119">
        <f t="shared" si="50"/>
        <v>339000</v>
      </c>
      <c r="H26" s="119">
        <f t="shared" si="50"/>
        <v>339000</v>
      </c>
      <c r="I26" s="119">
        <f t="shared" si="50"/>
        <v>339000</v>
      </c>
      <c r="J26" s="119">
        <f t="shared" si="50"/>
        <v>610200</v>
      </c>
      <c r="K26" s="119">
        <f t="shared" si="50"/>
        <v>610200</v>
      </c>
      <c r="L26" s="119">
        <f t="shared" si="50"/>
        <v>610200</v>
      </c>
      <c r="M26" s="119">
        <f t="shared" si="50"/>
        <v>610200</v>
      </c>
      <c r="N26" s="119">
        <f t="shared" si="50"/>
        <v>610200</v>
      </c>
      <c r="O26" s="119">
        <f t="shared" si="50"/>
        <v>610200</v>
      </c>
      <c r="P26" s="119">
        <f>SUM(D26:O26)</f>
        <v>5695200</v>
      </c>
      <c r="Q26" s="119">
        <f t="shared" ref="Q26:AB26" si="51">Q25*(Q9*2+1)</f>
        <v>634608</v>
      </c>
      <c r="R26" s="119">
        <f t="shared" si="51"/>
        <v>634608</v>
      </c>
      <c r="S26" s="119">
        <f t="shared" si="51"/>
        <v>634608</v>
      </c>
      <c r="T26" s="119">
        <f t="shared" si="51"/>
        <v>634608</v>
      </c>
      <c r="U26" s="119">
        <f t="shared" si="51"/>
        <v>634608</v>
      </c>
      <c r="V26" s="119">
        <f t="shared" si="51"/>
        <v>634608</v>
      </c>
      <c r="W26" s="119">
        <f t="shared" si="51"/>
        <v>916656</v>
      </c>
      <c r="X26" s="119">
        <f t="shared" si="51"/>
        <v>916656</v>
      </c>
      <c r="Y26" s="119">
        <f t="shared" si="51"/>
        <v>916656</v>
      </c>
      <c r="Z26" s="119">
        <f t="shared" si="51"/>
        <v>916656</v>
      </c>
      <c r="AA26" s="119">
        <f t="shared" si="51"/>
        <v>916656</v>
      </c>
      <c r="AB26" s="119">
        <f t="shared" si="51"/>
        <v>916656</v>
      </c>
      <c r="AC26" s="120">
        <f>SUM(Q26:AB26)</f>
        <v>9307584</v>
      </c>
      <c r="AD26" s="119">
        <f t="shared" ref="AD26:AO26" si="52">AD25*(AD9*2+1)</f>
        <v>953316</v>
      </c>
      <c r="AE26" s="119">
        <f t="shared" si="52"/>
        <v>953316</v>
      </c>
      <c r="AF26" s="119">
        <f t="shared" si="52"/>
        <v>953316</v>
      </c>
      <c r="AG26" s="119">
        <f t="shared" si="52"/>
        <v>953316</v>
      </c>
      <c r="AH26" s="119">
        <f t="shared" si="52"/>
        <v>953316</v>
      </c>
      <c r="AI26" s="119">
        <f t="shared" si="52"/>
        <v>953316</v>
      </c>
      <c r="AJ26" s="119">
        <f t="shared" si="52"/>
        <v>953316</v>
      </c>
      <c r="AK26" s="119">
        <f t="shared" si="52"/>
        <v>953316</v>
      </c>
      <c r="AL26" s="119">
        <f t="shared" si="52"/>
        <v>953316</v>
      </c>
      <c r="AM26" s="119">
        <f t="shared" si="52"/>
        <v>953316</v>
      </c>
      <c r="AN26" s="119">
        <f t="shared" si="52"/>
        <v>953316</v>
      </c>
      <c r="AO26" s="119">
        <f t="shared" si="52"/>
        <v>953316</v>
      </c>
      <c r="AP26" s="120">
        <f>SUM(AD26:AO26)</f>
        <v>11439792</v>
      </c>
      <c r="AQ26" s="241">
        <f t="shared" ref="AQ26:BB26" si="53">AQ25*(AQ9*2+1)</f>
        <v>991445</v>
      </c>
      <c r="AR26" s="119">
        <f t="shared" si="53"/>
        <v>991445</v>
      </c>
      <c r="AS26" s="119">
        <f t="shared" si="53"/>
        <v>991445</v>
      </c>
      <c r="AT26" s="119">
        <f t="shared" si="53"/>
        <v>991445</v>
      </c>
      <c r="AU26" s="119">
        <f t="shared" si="53"/>
        <v>991445</v>
      </c>
      <c r="AV26" s="119">
        <f t="shared" si="53"/>
        <v>991445</v>
      </c>
      <c r="AW26" s="119">
        <f t="shared" si="53"/>
        <v>991445</v>
      </c>
      <c r="AX26" s="119">
        <f t="shared" si="53"/>
        <v>991445</v>
      </c>
      <c r="AY26" s="119">
        <f t="shared" si="53"/>
        <v>991445</v>
      </c>
      <c r="AZ26" s="119">
        <f t="shared" si="53"/>
        <v>991445</v>
      </c>
      <c r="BA26" s="119">
        <f t="shared" si="53"/>
        <v>991445</v>
      </c>
      <c r="BB26" s="119">
        <f t="shared" si="53"/>
        <v>991445</v>
      </c>
      <c r="BC26" s="120">
        <f>SUM(AQ26:BB26)</f>
        <v>11897340</v>
      </c>
      <c r="BD26" s="241">
        <f t="shared" ref="BD26:BO26" si="54">BD25*(BD9*2+1)</f>
        <v>1031108</v>
      </c>
      <c r="BE26" s="119">
        <f t="shared" si="54"/>
        <v>1031108</v>
      </c>
      <c r="BF26" s="119">
        <f t="shared" si="54"/>
        <v>1031108</v>
      </c>
      <c r="BG26" s="119">
        <f t="shared" si="54"/>
        <v>1031108</v>
      </c>
      <c r="BH26" s="119">
        <f t="shared" si="54"/>
        <v>1031108</v>
      </c>
      <c r="BI26" s="119">
        <f t="shared" si="54"/>
        <v>1031108</v>
      </c>
      <c r="BJ26" s="119">
        <f t="shared" si="54"/>
        <v>1031108</v>
      </c>
      <c r="BK26" s="119">
        <f t="shared" si="54"/>
        <v>1031108</v>
      </c>
      <c r="BL26" s="119">
        <f t="shared" si="54"/>
        <v>1031108</v>
      </c>
      <c r="BM26" s="119">
        <f t="shared" si="54"/>
        <v>1031108</v>
      </c>
      <c r="BN26" s="119">
        <f t="shared" si="54"/>
        <v>1031108</v>
      </c>
      <c r="BO26" s="119">
        <f t="shared" si="54"/>
        <v>1031108</v>
      </c>
      <c r="BP26" s="121">
        <f>SUM(BD26:BO26)</f>
        <v>12373296</v>
      </c>
    </row>
    <row r="27" spans="1:68" x14ac:dyDescent="0.25">
      <c r="A27" s="370" t="s">
        <v>198</v>
      </c>
      <c r="B27" s="145" t="s">
        <v>198</v>
      </c>
      <c r="C27" s="146">
        <v>0</v>
      </c>
      <c r="D27" s="128">
        <v>100000</v>
      </c>
      <c r="E27" s="128">
        <f t="shared" ref="E27:O27" si="55">+D27</f>
        <v>100000</v>
      </c>
      <c r="F27" s="128">
        <f t="shared" si="55"/>
        <v>100000</v>
      </c>
      <c r="G27" s="128">
        <f t="shared" si="55"/>
        <v>100000</v>
      </c>
      <c r="H27" s="128">
        <f t="shared" si="55"/>
        <v>100000</v>
      </c>
      <c r="I27" s="128">
        <f t="shared" si="55"/>
        <v>100000</v>
      </c>
      <c r="J27" s="128">
        <f t="shared" si="55"/>
        <v>100000</v>
      </c>
      <c r="K27" s="128">
        <f t="shared" si="55"/>
        <v>100000</v>
      </c>
      <c r="L27" s="128">
        <f t="shared" si="55"/>
        <v>100000</v>
      </c>
      <c r="M27" s="128">
        <f t="shared" si="55"/>
        <v>100000</v>
      </c>
      <c r="N27" s="128">
        <f t="shared" si="55"/>
        <v>100000</v>
      </c>
      <c r="O27" s="128">
        <f t="shared" si="55"/>
        <v>100000</v>
      </c>
      <c r="P27" s="128">
        <f t="shared" si="26"/>
        <v>100000</v>
      </c>
      <c r="Q27" s="137">
        <f>ROUND(O27*(1+O$10),0)</f>
        <v>104000</v>
      </c>
      <c r="R27" s="137">
        <f t="shared" ref="R27:AB27" si="56">+Q27</f>
        <v>104000</v>
      </c>
      <c r="S27" s="137">
        <f t="shared" si="56"/>
        <v>104000</v>
      </c>
      <c r="T27" s="137">
        <f t="shared" si="56"/>
        <v>104000</v>
      </c>
      <c r="U27" s="137">
        <f t="shared" si="56"/>
        <v>104000</v>
      </c>
      <c r="V27" s="137">
        <f t="shared" si="56"/>
        <v>104000</v>
      </c>
      <c r="W27" s="137">
        <f t="shared" si="56"/>
        <v>104000</v>
      </c>
      <c r="X27" s="137">
        <f t="shared" si="56"/>
        <v>104000</v>
      </c>
      <c r="Y27" s="137">
        <f t="shared" si="56"/>
        <v>104000</v>
      </c>
      <c r="Z27" s="137">
        <f t="shared" si="56"/>
        <v>104000</v>
      </c>
      <c r="AA27" s="137">
        <f t="shared" si="56"/>
        <v>104000</v>
      </c>
      <c r="AB27" s="137">
        <f t="shared" si="56"/>
        <v>104000</v>
      </c>
      <c r="AC27" s="128">
        <f>SUM(P27:AB27)</f>
        <v>1348000</v>
      </c>
      <c r="AD27" s="137">
        <f>ROUND(AB27*(1+AB$10),0)</f>
        <v>108160</v>
      </c>
      <c r="AE27" s="137">
        <f t="shared" ref="AE27:AO27" si="57">+AD27</f>
        <v>108160</v>
      </c>
      <c r="AF27" s="137">
        <f t="shared" si="57"/>
        <v>108160</v>
      </c>
      <c r="AG27" s="137">
        <f t="shared" si="57"/>
        <v>108160</v>
      </c>
      <c r="AH27" s="137">
        <f t="shared" si="57"/>
        <v>108160</v>
      </c>
      <c r="AI27" s="137">
        <f t="shared" si="57"/>
        <v>108160</v>
      </c>
      <c r="AJ27" s="137">
        <f t="shared" si="57"/>
        <v>108160</v>
      </c>
      <c r="AK27" s="137">
        <f t="shared" si="57"/>
        <v>108160</v>
      </c>
      <c r="AL27" s="137">
        <f t="shared" si="57"/>
        <v>108160</v>
      </c>
      <c r="AM27" s="137">
        <f t="shared" si="57"/>
        <v>108160</v>
      </c>
      <c r="AN27" s="137">
        <f t="shared" si="57"/>
        <v>108160</v>
      </c>
      <c r="AO27" s="137">
        <f t="shared" si="57"/>
        <v>108160</v>
      </c>
      <c r="AP27" s="128">
        <f>SUM(AC27:AO27)</f>
        <v>2645920</v>
      </c>
      <c r="AQ27" s="234">
        <f>ROUND(AO27*(1+AO$10),0)</f>
        <v>112486</v>
      </c>
      <c r="AR27" s="137">
        <f t="shared" ref="AR27:BB27" si="58">+AQ27</f>
        <v>112486</v>
      </c>
      <c r="AS27" s="137">
        <f t="shared" si="58"/>
        <v>112486</v>
      </c>
      <c r="AT27" s="137">
        <f t="shared" si="58"/>
        <v>112486</v>
      </c>
      <c r="AU27" s="137">
        <f t="shared" si="58"/>
        <v>112486</v>
      </c>
      <c r="AV27" s="137">
        <f t="shared" si="58"/>
        <v>112486</v>
      </c>
      <c r="AW27" s="137">
        <f t="shared" si="58"/>
        <v>112486</v>
      </c>
      <c r="AX27" s="137">
        <f t="shared" si="58"/>
        <v>112486</v>
      </c>
      <c r="AY27" s="137">
        <f t="shared" si="58"/>
        <v>112486</v>
      </c>
      <c r="AZ27" s="137">
        <f t="shared" si="58"/>
        <v>112486</v>
      </c>
      <c r="BA27" s="137">
        <f t="shared" si="58"/>
        <v>112486</v>
      </c>
      <c r="BB27" s="137">
        <f t="shared" si="58"/>
        <v>112486</v>
      </c>
      <c r="BC27" s="128">
        <f>SUM(AP27:BB27)</f>
        <v>3995752</v>
      </c>
      <c r="BD27" s="234">
        <f>ROUND(BB27*(1+BB$10),0)</f>
        <v>116985</v>
      </c>
      <c r="BE27" s="137">
        <f t="shared" ref="BE27:BO27" si="59">+BD27</f>
        <v>116985</v>
      </c>
      <c r="BF27" s="137">
        <f t="shared" si="59"/>
        <v>116985</v>
      </c>
      <c r="BG27" s="137">
        <f t="shared" si="59"/>
        <v>116985</v>
      </c>
      <c r="BH27" s="137">
        <f t="shared" si="59"/>
        <v>116985</v>
      </c>
      <c r="BI27" s="137">
        <f t="shared" si="59"/>
        <v>116985</v>
      </c>
      <c r="BJ27" s="137">
        <f t="shared" si="59"/>
        <v>116985</v>
      </c>
      <c r="BK27" s="137">
        <f t="shared" si="59"/>
        <v>116985</v>
      </c>
      <c r="BL27" s="137">
        <f t="shared" si="59"/>
        <v>116985</v>
      </c>
      <c r="BM27" s="137">
        <f t="shared" si="59"/>
        <v>116985</v>
      </c>
      <c r="BN27" s="137">
        <f t="shared" si="59"/>
        <v>116985</v>
      </c>
      <c r="BO27" s="137">
        <f t="shared" si="59"/>
        <v>116985</v>
      </c>
      <c r="BP27" s="129">
        <f>SUM(BC27:BO27)</f>
        <v>5399572</v>
      </c>
    </row>
    <row r="28" spans="1:68" ht="15" customHeight="1" thickBot="1" x14ac:dyDescent="0.3">
      <c r="A28" s="375"/>
      <c r="B28" s="147" t="s">
        <v>242</v>
      </c>
      <c r="C28" s="131">
        <v>0</v>
      </c>
      <c r="D28" s="148">
        <f>D27*D9*2+D27</f>
        <v>500000</v>
      </c>
      <c r="E28" s="148">
        <v>0</v>
      </c>
      <c r="F28" s="148">
        <v>0</v>
      </c>
      <c r="G28" s="148">
        <f>G27*G9*2+G27</f>
        <v>500000</v>
      </c>
      <c r="H28" s="148">
        <v>0</v>
      </c>
      <c r="I28" s="148">
        <v>0</v>
      </c>
      <c r="J28" s="148">
        <f>J27*J9*2+J27</f>
        <v>900000</v>
      </c>
      <c r="K28" s="148">
        <v>0</v>
      </c>
      <c r="L28" s="148">
        <v>0</v>
      </c>
      <c r="M28" s="148">
        <f>M27*M9*2+M27</f>
        <v>900000</v>
      </c>
      <c r="N28" s="148">
        <v>0</v>
      </c>
      <c r="O28" s="148">
        <v>0</v>
      </c>
      <c r="P28" s="148">
        <f t="shared" si="26"/>
        <v>0</v>
      </c>
      <c r="Q28" s="148">
        <f>Q27*Q9*2+Q27</f>
        <v>936000</v>
      </c>
      <c r="R28" s="148">
        <v>0</v>
      </c>
      <c r="S28" s="148">
        <v>0</v>
      </c>
      <c r="T28" s="148">
        <f>T27*T9*2+T27</f>
        <v>936000</v>
      </c>
      <c r="U28" s="148">
        <v>0</v>
      </c>
      <c r="V28" s="148">
        <v>0</v>
      </c>
      <c r="W28" s="148">
        <f>W27*W9*2+W27</f>
        <v>1352000</v>
      </c>
      <c r="X28" s="148">
        <v>0</v>
      </c>
      <c r="Y28" s="148">
        <v>0</v>
      </c>
      <c r="Z28" s="148">
        <f>Z27*Z9*2+Z27</f>
        <v>1352000</v>
      </c>
      <c r="AA28" s="148">
        <v>0</v>
      </c>
      <c r="AB28" s="148">
        <v>0</v>
      </c>
      <c r="AC28" s="148">
        <f>SUM(Q28:AB28)</f>
        <v>4576000</v>
      </c>
      <c r="AD28" s="148">
        <f>AD27*AD9*2+AD27</f>
        <v>1406080</v>
      </c>
      <c r="AE28" s="148">
        <v>0</v>
      </c>
      <c r="AF28" s="148">
        <v>0</v>
      </c>
      <c r="AG28" s="148">
        <f>AG27*AG9*2+AG27</f>
        <v>1406080</v>
      </c>
      <c r="AH28" s="148">
        <v>0</v>
      </c>
      <c r="AI28" s="148">
        <v>0</v>
      </c>
      <c r="AJ28" s="148">
        <f>AJ27*AJ9*2+AJ27</f>
        <v>1406080</v>
      </c>
      <c r="AK28" s="148">
        <v>0</v>
      </c>
      <c r="AL28" s="148">
        <v>0</v>
      </c>
      <c r="AM28" s="148">
        <f>AM27*AM9*2+AM27</f>
        <v>1406080</v>
      </c>
      <c r="AN28" s="148">
        <v>0</v>
      </c>
      <c r="AO28" s="148">
        <v>0</v>
      </c>
      <c r="AP28" s="148">
        <f>SUM(AD28:AO28)</f>
        <v>5624320</v>
      </c>
      <c r="AQ28" s="243">
        <f>AQ27*AQ9*2+AQ27</f>
        <v>1462318</v>
      </c>
      <c r="AR28" s="148">
        <v>0</v>
      </c>
      <c r="AS28" s="148">
        <v>0</v>
      </c>
      <c r="AT28" s="148">
        <f>AT27*AT9*2+AT27</f>
        <v>1462318</v>
      </c>
      <c r="AU28" s="148">
        <v>0</v>
      </c>
      <c r="AV28" s="148">
        <v>0</v>
      </c>
      <c r="AW28" s="148">
        <f>AW27*AW9*2+AW27</f>
        <v>1462318</v>
      </c>
      <c r="AX28" s="148">
        <v>0</v>
      </c>
      <c r="AY28" s="148">
        <v>0</v>
      </c>
      <c r="AZ28" s="148">
        <f>AZ27*AZ9*2+AZ27</f>
        <v>1462318</v>
      </c>
      <c r="BA28" s="148">
        <v>0</v>
      </c>
      <c r="BB28" s="148">
        <v>0</v>
      </c>
      <c r="BC28" s="148">
        <f>SUM(AQ28:BB28)</f>
        <v>5849272</v>
      </c>
      <c r="BD28" s="243">
        <f>BD27*BD9*2+BD27</f>
        <v>1520805</v>
      </c>
      <c r="BE28" s="148">
        <v>0</v>
      </c>
      <c r="BF28" s="148">
        <v>0</v>
      </c>
      <c r="BG28" s="148">
        <f>BG27*BG9*2+BG27</f>
        <v>1520805</v>
      </c>
      <c r="BH28" s="148">
        <v>0</v>
      </c>
      <c r="BI28" s="148">
        <v>0</v>
      </c>
      <c r="BJ28" s="148">
        <f>BJ27*BJ9*2+BJ27</f>
        <v>1520805</v>
      </c>
      <c r="BK28" s="148">
        <v>0</v>
      </c>
      <c r="BL28" s="148">
        <v>0</v>
      </c>
      <c r="BM28" s="148">
        <f>BM27*BM9*2+BM27</f>
        <v>1520805</v>
      </c>
      <c r="BN28" s="148">
        <v>0</v>
      </c>
      <c r="BO28" s="148">
        <v>0</v>
      </c>
      <c r="BP28" s="149">
        <f>SUM(BD28:BO28)</f>
        <v>6083220</v>
      </c>
    </row>
    <row r="29" spans="1:68" ht="16.5" thickBot="1" x14ac:dyDescent="0.3">
      <c r="A29" s="368" t="s">
        <v>193</v>
      </c>
      <c r="B29" s="369"/>
      <c r="C29" s="194"/>
      <c r="D29" s="195">
        <f t="shared" ref="D29:O29" si="60">+D11+D15+D19+D24+D26+D28</f>
        <v>11974914</v>
      </c>
      <c r="E29" s="195">
        <f t="shared" si="60"/>
        <v>11474914</v>
      </c>
      <c r="F29" s="195">
        <f t="shared" si="60"/>
        <v>11474914</v>
      </c>
      <c r="G29" s="195">
        <f t="shared" si="60"/>
        <v>11974914</v>
      </c>
      <c r="H29" s="195">
        <f t="shared" si="60"/>
        <v>11474914</v>
      </c>
      <c r="I29" s="195">
        <f t="shared" si="60"/>
        <v>11474914</v>
      </c>
      <c r="J29" s="195">
        <f t="shared" si="60"/>
        <v>16796837</v>
      </c>
      <c r="K29" s="195">
        <f t="shared" si="60"/>
        <v>15896837</v>
      </c>
      <c r="L29" s="195">
        <f t="shared" si="60"/>
        <v>15896837</v>
      </c>
      <c r="M29" s="195">
        <f t="shared" si="60"/>
        <v>16796837</v>
      </c>
      <c r="N29" s="195">
        <f t="shared" si="60"/>
        <v>15896837</v>
      </c>
      <c r="O29" s="195">
        <f t="shared" si="60"/>
        <v>15896837</v>
      </c>
      <c r="P29" s="195">
        <f>SUM(D29:O29)</f>
        <v>167030506</v>
      </c>
      <c r="Q29" s="195">
        <f t="shared" ref="Q29:AB29" si="61">+Q11+Q15+Q19+Q24+Q26+Q28</f>
        <v>20248404</v>
      </c>
      <c r="R29" s="195">
        <f t="shared" si="61"/>
        <v>19312404</v>
      </c>
      <c r="S29" s="195">
        <f t="shared" si="61"/>
        <v>19312404</v>
      </c>
      <c r="T29" s="195">
        <f t="shared" si="61"/>
        <v>20248404</v>
      </c>
      <c r="U29" s="195">
        <f t="shared" si="61"/>
        <v>19312404</v>
      </c>
      <c r="V29" s="195">
        <f t="shared" si="61"/>
        <v>19312404</v>
      </c>
      <c r="W29" s="195">
        <f t="shared" si="61"/>
        <v>25957568</v>
      </c>
      <c r="X29" s="195">
        <f t="shared" si="61"/>
        <v>24605568</v>
      </c>
      <c r="Y29" s="195">
        <f t="shared" si="61"/>
        <v>24605568</v>
      </c>
      <c r="Z29" s="195">
        <f t="shared" si="61"/>
        <v>25957568</v>
      </c>
      <c r="AA29" s="195">
        <f t="shared" si="61"/>
        <v>24605568</v>
      </c>
      <c r="AB29" s="195">
        <f t="shared" si="61"/>
        <v>24605568</v>
      </c>
      <c r="AC29" s="196">
        <f>SUM(Q29:AB29)</f>
        <v>268083832</v>
      </c>
      <c r="AD29" s="195">
        <f t="shared" ref="AD29:AO29" si="62">+AD11+AD15+AD19+AD24+AD26+AD28</f>
        <v>29920534</v>
      </c>
      <c r="AE29" s="195">
        <f t="shared" si="62"/>
        <v>28514454</v>
      </c>
      <c r="AF29" s="195">
        <f t="shared" si="62"/>
        <v>28514454</v>
      </c>
      <c r="AG29" s="195">
        <f t="shared" si="62"/>
        <v>29920534</v>
      </c>
      <c r="AH29" s="195">
        <f t="shared" si="62"/>
        <v>28514454</v>
      </c>
      <c r="AI29" s="195">
        <f t="shared" si="62"/>
        <v>28514454</v>
      </c>
      <c r="AJ29" s="195">
        <f t="shared" si="62"/>
        <v>29920534</v>
      </c>
      <c r="AK29" s="195">
        <f t="shared" si="62"/>
        <v>28514454</v>
      </c>
      <c r="AL29" s="195">
        <f t="shared" si="62"/>
        <v>28514454</v>
      </c>
      <c r="AM29" s="195">
        <f t="shared" si="62"/>
        <v>29920534</v>
      </c>
      <c r="AN29" s="195">
        <f t="shared" si="62"/>
        <v>28514454</v>
      </c>
      <c r="AO29" s="195">
        <f t="shared" si="62"/>
        <v>28514454</v>
      </c>
      <c r="AP29" s="196">
        <f>SUM(AD29:AO29)</f>
        <v>347797768</v>
      </c>
      <c r="AQ29" s="244">
        <f t="shared" ref="AQ29:BB29" si="63">+AQ11+AQ15+AQ19+AQ24+AQ26+AQ28</f>
        <v>30774161</v>
      </c>
      <c r="AR29" s="195">
        <f t="shared" si="63"/>
        <v>29311843</v>
      </c>
      <c r="AS29" s="195">
        <f t="shared" si="63"/>
        <v>29311843</v>
      </c>
      <c r="AT29" s="195">
        <f t="shared" si="63"/>
        <v>30774161</v>
      </c>
      <c r="AU29" s="195">
        <f t="shared" si="63"/>
        <v>29311843</v>
      </c>
      <c r="AV29" s="195">
        <f t="shared" si="63"/>
        <v>29311843</v>
      </c>
      <c r="AW29" s="195">
        <f t="shared" si="63"/>
        <v>30774161</v>
      </c>
      <c r="AX29" s="195">
        <f t="shared" si="63"/>
        <v>29311843</v>
      </c>
      <c r="AY29" s="195">
        <f t="shared" si="63"/>
        <v>29311843</v>
      </c>
      <c r="AZ29" s="195">
        <f t="shared" si="63"/>
        <v>30774161</v>
      </c>
      <c r="BA29" s="195">
        <f t="shared" si="63"/>
        <v>29311843</v>
      </c>
      <c r="BB29" s="195">
        <f t="shared" si="63"/>
        <v>29311843</v>
      </c>
      <c r="BC29" s="196">
        <f>SUM(AQ29:BB29)</f>
        <v>357591388</v>
      </c>
      <c r="BD29" s="244">
        <f t="shared" ref="BD29:BO29" si="64">+BD11+BD15+BD19+BD24+BD26+BD28</f>
        <v>31631571</v>
      </c>
      <c r="BE29" s="195">
        <f t="shared" si="64"/>
        <v>30110766</v>
      </c>
      <c r="BF29" s="195">
        <f t="shared" si="64"/>
        <v>30110766</v>
      </c>
      <c r="BG29" s="195">
        <f t="shared" si="64"/>
        <v>31631571</v>
      </c>
      <c r="BH29" s="195">
        <f t="shared" si="64"/>
        <v>30110766</v>
      </c>
      <c r="BI29" s="195">
        <f t="shared" si="64"/>
        <v>30110766</v>
      </c>
      <c r="BJ29" s="195">
        <f t="shared" si="64"/>
        <v>31631571</v>
      </c>
      <c r="BK29" s="195">
        <f t="shared" si="64"/>
        <v>30110766</v>
      </c>
      <c r="BL29" s="195">
        <f t="shared" si="64"/>
        <v>30110766</v>
      </c>
      <c r="BM29" s="195">
        <f t="shared" si="64"/>
        <v>31631571</v>
      </c>
      <c r="BN29" s="195">
        <f t="shared" si="64"/>
        <v>30110766</v>
      </c>
      <c r="BO29" s="195">
        <f t="shared" si="64"/>
        <v>30110766</v>
      </c>
      <c r="BP29" s="197">
        <f>SUM(BD29:BO29)</f>
        <v>367412412</v>
      </c>
    </row>
    <row r="30" spans="1:68" x14ac:dyDescent="0.25">
      <c r="A30" s="4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68" x14ac:dyDescent="0.25">
      <c r="A31" s="49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36"/>
    </row>
    <row r="32" spans="1:68" x14ac:dyDescent="0.25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4:16" x14ac:dyDescent="0.25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4:16" x14ac:dyDescent="0.2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4:16" x14ac:dyDescent="0.2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4:16" x14ac:dyDescent="0.2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4:16" x14ac:dyDescent="0.2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4:16" x14ac:dyDescent="0.2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4:16" x14ac:dyDescent="0.2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4:16" x14ac:dyDescent="0.2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4:16" x14ac:dyDescent="0.2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</sheetData>
  <mergeCells count="8">
    <mergeCell ref="A27:A28"/>
    <mergeCell ref="A29:B29"/>
    <mergeCell ref="A2:BP2"/>
    <mergeCell ref="A5:A11"/>
    <mergeCell ref="A12:A15"/>
    <mergeCell ref="A16:A19"/>
    <mergeCell ref="A20:A24"/>
    <mergeCell ref="A25:A2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U355"/>
  <sheetViews>
    <sheetView tabSelected="1" workbookViewId="0">
      <pane xSplit="3" ySplit="4" topLeftCell="BN6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9.140625" defaultRowHeight="15" outlineLevelCol="1" x14ac:dyDescent="0.25"/>
  <cols>
    <col min="2" max="2" width="15.5703125" customWidth="1"/>
    <col min="3" max="3" width="43.42578125" bestFit="1" customWidth="1"/>
    <col min="4" max="10" width="11.5703125" customWidth="1" outlineLevel="1"/>
    <col min="11" max="11" width="12.7109375" customWidth="1" outlineLevel="1"/>
    <col min="12" max="12" width="11.5703125" customWidth="1" outlineLevel="1"/>
    <col min="13" max="13" width="12.7109375" customWidth="1" outlineLevel="1"/>
    <col min="14" max="14" width="11.5703125" customWidth="1" outlineLevel="1"/>
    <col min="15" max="15" width="12.7109375" customWidth="1" outlineLevel="1"/>
    <col min="16" max="16" width="12.7109375" bestFit="1" customWidth="1"/>
    <col min="17" max="17" width="11.5703125" customWidth="1" outlineLevel="1"/>
    <col min="18" max="18" width="12.7109375" customWidth="1" outlineLevel="1"/>
    <col min="19" max="19" width="11.5703125" customWidth="1" outlineLevel="1"/>
    <col min="20" max="20" width="12.7109375" customWidth="1" outlineLevel="1"/>
    <col min="21" max="21" width="11.5703125" customWidth="1" outlineLevel="1"/>
    <col min="22" max="28" width="12.7109375" customWidth="1" outlineLevel="1"/>
    <col min="29" max="29" width="13.85546875" bestFit="1" customWidth="1"/>
    <col min="30" max="41" width="12.7109375" customWidth="1" outlineLevel="1"/>
    <col min="42" max="42" width="13.85546875" bestFit="1" customWidth="1"/>
    <col min="43" max="54" width="12.7109375" customWidth="1" outlineLevel="1"/>
    <col min="55" max="55" width="13.85546875" bestFit="1" customWidth="1"/>
    <col min="56" max="67" width="12.7109375" customWidth="1" outlineLevel="1"/>
    <col min="68" max="68" width="13.85546875" bestFit="1" customWidth="1"/>
    <col min="73" max="73" width="13.140625" bestFit="1" customWidth="1"/>
  </cols>
  <sheetData>
    <row r="2" spans="2:73" ht="23.25" x14ac:dyDescent="0.35">
      <c r="B2" s="383" t="s">
        <v>50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3"/>
      <c r="BM2" s="383"/>
      <c r="BN2" s="383"/>
      <c r="BO2" s="383"/>
      <c r="BP2" s="383"/>
    </row>
    <row r="3" spans="2:73" ht="15.75" thickBot="1" x14ac:dyDescent="0.3"/>
    <row r="4" spans="2:73" x14ac:dyDescent="0.25">
      <c r="B4" s="180" t="s">
        <v>283</v>
      </c>
      <c r="C4" s="181" t="s">
        <v>284</v>
      </c>
      <c r="D4" s="182">
        <v>1</v>
      </c>
      <c r="E4" s="182">
        <v>2</v>
      </c>
      <c r="F4" s="182">
        <v>3</v>
      </c>
      <c r="G4" s="182">
        <v>4</v>
      </c>
      <c r="H4" s="182">
        <v>5</v>
      </c>
      <c r="I4" s="182">
        <v>6</v>
      </c>
      <c r="J4" s="182">
        <v>7</v>
      </c>
      <c r="K4" s="182">
        <v>8</v>
      </c>
      <c r="L4" s="182">
        <v>9</v>
      </c>
      <c r="M4" s="182">
        <v>10</v>
      </c>
      <c r="N4" s="182">
        <v>11</v>
      </c>
      <c r="O4" s="182">
        <v>12</v>
      </c>
      <c r="P4" s="183" t="s">
        <v>97</v>
      </c>
      <c r="Q4" s="183">
        <v>13</v>
      </c>
      <c r="R4" s="183">
        <f>+Q4+1</f>
        <v>14</v>
      </c>
      <c r="S4" s="183">
        <f t="shared" ref="S4:AO4" si="0">+R4+1</f>
        <v>15</v>
      </c>
      <c r="T4" s="183">
        <f t="shared" si="0"/>
        <v>16</v>
      </c>
      <c r="U4" s="183">
        <f t="shared" si="0"/>
        <v>17</v>
      </c>
      <c r="V4" s="183">
        <f t="shared" si="0"/>
        <v>18</v>
      </c>
      <c r="W4" s="183">
        <f t="shared" si="0"/>
        <v>19</v>
      </c>
      <c r="X4" s="183">
        <f t="shared" si="0"/>
        <v>20</v>
      </c>
      <c r="Y4" s="183">
        <f t="shared" si="0"/>
        <v>21</v>
      </c>
      <c r="Z4" s="183">
        <f t="shared" si="0"/>
        <v>22</v>
      </c>
      <c r="AA4" s="183">
        <f t="shared" si="0"/>
        <v>23</v>
      </c>
      <c r="AB4" s="183">
        <f t="shared" si="0"/>
        <v>24</v>
      </c>
      <c r="AC4" s="184" t="s">
        <v>98</v>
      </c>
      <c r="AD4" s="183">
        <f>+AB4+1</f>
        <v>25</v>
      </c>
      <c r="AE4" s="183">
        <f t="shared" si="0"/>
        <v>26</v>
      </c>
      <c r="AF4" s="183">
        <f t="shared" si="0"/>
        <v>27</v>
      </c>
      <c r="AG4" s="183">
        <f t="shared" si="0"/>
        <v>28</v>
      </c>
      <c r="AH4" s="183">
        <f t="shared" si="0"/>
        <v>29</v>
      </c>
      <c r="AI4" s="183">
        <f t="shared" si="0"/>
        <v>30</v>
      </c>
      <c r="AJ4" s="183">
        <f t="shared" si="0"/>
        <v>31</v>
      </c>
      <c r="AK4" s="183">
        <f t="shared" si="0"/>
        <v>32</v>
      </c>
      <c r="AL4" s="183">
        <f t="shared" si="0"/>
        <v>33</v>
      </c>
      <c r="AM4" s="183">
        <f t="shared" si="0"/>
        <v>34</v>
      </c>
      <c r="AN4" s="183">
        <f t="shared" si="0"/>
        <v>35</v>
      </c>
      <c r="AO4" s="183">
        <f t="shared" si="0"/>
        <v>36</v>
      </c>
      <c r="AP4" s="184" t="s">
        <v>99</v>
      </c>
      <c r="AQ4" s="245">
        <f>+AO4+1</f>
        <v>37</v>
      </c>
      <c r="AR4" s="183">
        <f t="shared" ref="AR4:BB4" si="1">+AQ4+1</f>
        <v>38</v>
      </c>
      <c r="AS4" s="183">
        <f t="shared" si="1"/>
        <v>39</v>
      </c>
      <c r="AT4" s="183">
        <f t="shared" si="1"/>
        <v>40</v>
      </c>
      <c r="AU4" s="183">
        <f t="shared" si="1"/>
        <v>41</v>
      </c>
      <c r="AV4" s="183">
        <f t="shared" si="1"/>
        <v>42</v>
      </c>
      <c r="AW4" s="183">
        <f t="shared" si="1"/>
        <v>43</v>
      </c>
      <c r="AX4" s="183">
        <f t="shared" si="1"/>
        <v>44</v>
      </c>
      <c r="AY4" s="183">
        <f t="shared" si="1"/>
        <v>45</v>
      </c>
      <c r="AZ4" s="183">
        <f t="shared" si="1"/>
        <v>46</v>
      </c>
      <c r="BA4" s="183">
        <f t="shared" si="1"/>
        <v>47</v>
      </c>
      <c r="BB4" s="183">
        <f t="shared" si="1"/>
        <v>48</v>
      </c>
      <c r="BC4" s="184" t="s">
        <v>294</v>
      </c>
      <c r="BD4" s="245">
        <f>+BB4+1</f>
        <v>49</v>
      </c>
      <c r="BE4" s="183">
        <f t="shared" ref="BE4:BO4" si="2">+BD4+1</f>
        <v>50</v>
      </c>
      <c r="BF4" s="183">
        <f t="shared" si="2"/>
        <v>51</v>
      </c>
      <c r="BG4" s="183">
        <f t="shared" si="2"/>
        <v>52</v>
      </c>
      <c r="BH4" s="183">
        <f t="shared" si="2"/>
        <v>53</v>
      </c>
      <c r="BI4" s="183">
        <f t="shared" si="2"/>
        <v>54</v>
      </c>
      <c r="BJ4" s="183">
        <f t="shared" si="2"/>
        <v>55</v>
      </c>
      <c r="BK4" s="183">
        <f t="shared" si="2"/>
        <v>56</v>
      </c>
      <c r="BL4" s="183">
        <f t="shared" si="2"/>
        <v>57</v>
      </c>
      <c r="BM4" s="183">
        <f t="shared" si="2"/>
        <v>58</v>
      </c>
      <c r="BN4" s="183">
        <f t="shared" si="2"/>
        <v>59</v>
      </c>
      <c r="BO4" s="183">
        <f t="shared" si="2"/>
        <v>60</v>
      </c>
      <c r="BP4" s="185" t="s">
        <v>295</v>
      </c>
    </row>
    <row r="5" spans="2:73" x14ac:dyDescent="0.25">
      <c r="B5" s="388" t="s">
        <v>205</v>
      </c>
      <c r="C5" s="83" t="s">
        <v>138</v>
      </c>
      <c r="D5" s="97">
        <v>75000000</v>
      </c>
      <c r="E5" s="98">
        <f>+D5</f>
        <v>75000000</v>
      </c>
      <c r="F5" s="98">
        <f t="shared" ref="F5:O5" si="3">+E5</f>
        <v>75000000</v>
      </c>
      <c r="G5" s="98">
        <f t="shared" si="3"/>
        <v>75000000</v>
      </c>
      <c r="H5" s="98">
        <f t="shared" si="3"/>
        <v>75000000</v>
      </c>
      <c r="I5" s="98">
        <f t="shared" si="3"/>
        <v>75000000</v>
      </c>
      <c r="J5" s="98">
        <f t="shared" si="3"/>
        <v>75000000</v>
      </c>
      <c r="K5" s="98">
        <f t="shared" si="3"/>
        <v>75000000</v>
      </c>
      <c r="L5" s="98">
        <f t="shared" si="3"/>
        <v>75000000</v>
      </c>
      <c r="M5" s="98">
        <f t="shared" si="3"/>
        <v>75000000</v>
      </c>
      <c r="N5" s="98">
        <f t="shared" si="3"/>
        <v>75000000</v>
      </c>
      <c r="O5" s="98">
        <f t="shared" si="3"/>
        <v>75000000</v>
      </c>
      <c r="P5" s="98">
        <f>+O5</f>
        <v>75000000</v>
      </c>
      <c r="Q5" s="98">
        <f>+O5</f>
        <v>75000000</v>
      </c>
      <c r="R5" s="98">
        <f>+Q5</f>
        <v>75000000</v>
      </c>
      <c r="S5" s="98">
        <f t="shared" ref="S5:AB5" si="4">+R5</f>
        <v>75000000</v>
      </c>
      <c r="T5" s="98">
        <f t="shared" si="4"/>
        <v>75000000</v>
      </c>
      <c r="U5" s="98">
        <f t="shared" si="4"/>
        <v>75000000</v>
      </c>
      <c r="V5" s="98">
        <f t="shared" si="4"/>
        <v>75000000</v>
      </c>
      <c r="W5" s="98">
        <f t="shared" si="4"/>
        <v>75000000</v>
      </c>
      <c r="X5" s="98">
        <f t="shared" si="4"/>
        <v>75000000</v>
      </c>
      <c r="Y5" s="98">
        <f t="shared" si="4"/>
        <v>75000000</v>
      </c>
      <c r="Z5" s="98">
        <f t="shared" si="4"/>
        <v>75000000</v>
      </c>
      <c r="AA5" s="98">
        <f t="shared" si="4"/>
        <v>75000000</v>
      </c>
      <c r="AB5" s="98">
        <f t="shared" si="4"/>
        <v>75000000</v>
      </c>
      <c r="AC5" s="98">
        <f>+AB5</f>
        <v>75000000</v>
      </c>
      <c r="AD5" s="98">
        <f>+AB5</f>
        <v>75000000</v>
      </c>
      <c r="AE5" s="98">
        <f>+AD5</f>
        <v>75000000</v>
      </c>
      <c r="AF5" s="98">
        <f t="shared" ref="AF5:AO5" si="5">+AE5</f>
        <v>75000000</v>
      </c>
      <c r="AG5" s="98">
        <f t="shared" si="5"/>
        <v>75000000</v>
      </c>
      <c r="AH5" s="98">
        <f t="shared" si="5"/>
        <v>75000000</v>
      </c>
      <c r="AI5" s="98">
        <f t="shared" si="5"/>
        <v>75000000</v>
      </c>
      <c r="AJ5" s="98">
        <f t="shared" si="5"/>
        <v>75000000</v>
      </c>
      <c r="AK5" s="98">
        <f t="shared" si="5"/>
        <v>75000000</v>
      </c>
      <c r="AL5" s="98">
        <f t="shared" si="5"/>
        <v>75000000</v>
      </c>
      <c r="AM5" s="98">
        <f t="shared" si="5"/>
        <v>75000000</v>
      </c>
      <c r="AN5" s="98">
        <f t="shared" si="5"/>
        <v>75000000</v>
      </c>
      <c r="AO5" s="98">
        <f t="shared" si="5"/>
        <v>75000000</v>
      </c>
      <c r="AP5" s="98">
        <f>+AO5</f>
        <v>75000000</v>
      </c>
      <c r="AQ5" s="246">
        <f>+AO5</f>
        <v>75000000</v>
      </c>
      <c r="AR5" s="98">
        <f t="shared" ref="AR5:BC5" si="6">+AQ5</f>
        <v>75000000</v>
      </c>
      <c r="AS5" s="98">
        <f t="shared" si="6"/>
        <v>75000000</v>
      </c>
      <c r="AT5" s="98">
        <f t="shared" si="6"/>
        <v>75000000</v>
      </c>
      <c r="AU5" s="98">
        <f t="shared" si="6"/>
        <v>75000000</v>
      </c>
      <c r="AV5" s="98">
        <f t="shared" si="6"/>
        <v>75000000</v>
      </c>
      <c r="AW5" s="98">
        <f t="shared" si="6"/>
        <v>75000000</v>
      </c>
      <c r="AX5" s="98">
        <f t="shared" si="6"/>
        <v>75000000</v>
      </c>
      <c r="AY5" s="98">
        <f t="shared" si="6"/>
        <v>75000000</v>
      </c>
      <c r="AZ5" s="98">
        <f t="shared" si="6"/>
        <v>75000000</v>
      </c>
      <c r="BA5" s="98">
        <f t="shared" si="6"/>
        <v>75000000</v>
      </c>
      <c r="BB5" s="98">
        <f t="shared" si="6"/>
        <v>75000000</v>
      </c>
      <c r="BC5" s="98">
        <f t="shared" si="6"/>
        <v>75000000</v>
      </c>
      <c r="BD5" s="246">
        <f>+BB5</f>
        <v>75000000</v>
      </c>
      <c r="BE5" s="98">
        <f t="shared" ref="BE5:BP5" si="7">+BD5</f>
        <v>75000000</v>
      </c>
      <c r="BF5" s="98">
        <f t="shared" si="7"/>
        <v>75000000</v>
      </c>
      <c r="BG5" s="98">
        <f t="shared" si="7"/>
        <v>75000000</v>
      </c>
      <c r="BH5" s="98">
        <f t="shared" si="7"/>
        <v>75000000</v>
      </c>
      <c r="BI5" s="98">
        <f t="shared" si="7"/>
        <v>75000000</v>
      </c>
      <c r="BJ5" s="98">
        <f t="shared" si="7"/>
        <v>75000000</v>
      </c>
      <c r="BK5" s="98">
        <f t="shared" si="7"/>
        <v>75000000</v>
      </c>
      <c r="BL5" s="98">
        <f t="shared" si="7"/>
        <v>75000000</v>
      </c>
      <c r="BM5" s="98">
        <f t="shared" si="7"/>
        <v>75000000</v>
      </c>
      <c r="BN5" s="98">
        <f t="shared" si="7"/>
        <v>75000000</v>
      </c>
      <c r="BO5" s="98">
        <f t="shared" si="7"/>
        <v>75000000</v>
      </c>
      <c r="BP5" s="116">
        <f t="shared" si="7"/>
        <v>75000000</v>
      </c>
    </row>
    <row r="6" spans="2:73" x14ac:dyDescent="0.25">
      <c r="B6" s="388"/>
      <c r="C6" s="58" t="s">
        <v>105</v>
      </c>
      <c r="D6" s="99">
        <f>+'INGRESOS '!G5</f>
        <v>2</v>
      </c>
      <c r="E6" s="99">
        <f>+'INGRESOS '!H5</f>
        <v>2</v>
      </c>
      <c r="F6" s="99">
        <f>+'INGRESOS '!I5</f>
        <v>2</v>
      </c>
      <c r="G6" s="99">
        <f>+'INGRESOS '!J5</f>
        <v>2</v>
      </c>
      <c r="H6" s="99">
        <f>+'INGRESOS '!K5</f>
        <v>2</v>
      </c>
      <c r="I6" s="99">
        <f>+'INGRESOS '!L5</f>
        <v>2</v>
      </c>
      <c r="J6" s="99">
        <f>+'INGRESOS '!M5</f>
        <v>4</v>
      </c>
      <c r="K6" s="99">
        <f>+'INGRESOS '!N5</f>
        <v>4</v>
      </c>
      <c r="L6" s="99">
        <f>+'INGRESOS '!O5</f>
        <v>4</v>
      </c>
      <c r="M6" s="99">
        <f>+'INGRESOS '!P5</f>
        <v>4</v>
      </c>
      <c r="N6" s="99">
        <f>+'INGRESOS '!Q5</f>
        <v>4</v>
      </c>
      <c r="O6" s="99">
        <f>+'INGRESOS '!R5</f>
        <v>4</v>
      </c>
      <c r="P6" s="58">
        <v>4</v>
      </c>
      <c r="Q6" s="99">
        <f>+'INGRESOS '!T5</f>
        <v>4</v>
      </c>
      <c r="R6" s="99">
        <f>+'INGRESOS '!U5</f>
        <v>4</v>
      </c>
      <c r="S6" s="99">
        <f>+'INGRESOS '!V5</f>
        <v>4</v>
      </c>
      <c r="T6" s="99">
        <f>+'INGRESOS '!W5</f>
        <v>4</v>
      </c>
      <c r="U6" s="99">
        <f>+'INGRESOS '!X5</f>
        <v>4</v>
      </c>
      <c r="V6" s="99">
        <f>+'INGRESOS '!Y5</f>
        <v>4</v>
      </c>
      <c r="W6" s="99">
        <f>+'INGRESOS '!Z5</f>
        <v>6</v>
      </c>
      <c r="X6" s="99">
        <f>+'INGRESOS '!AA5</f>
        <v>6</v>
      </c>
      <c r="Y6" s="99">
        <f>+'INGRESOS '!AB5</f>
        <v>6</v>
      </c>
      <c r="Z6" s="99">
        <f>+'INGRESOS '!AC5</f>
        <v>6</v>
      </c>
      <c r="AA6" s="99">
        <f>+'INGRESOS '!AD5</f>
        <v>6</v>
      </c>
      <c r="AB6" s="99">
        <f>+'INGRESOS '!AE5</f>
        <v>6</v>
      </c>
      <c r="AC6" s="58">
        <v>6</v>
      </c>
      <c r="AD6" s="99">
        <f>+'INGRESOS '!AG5</f>
        <v>6</v>
      </c>
      <c r="AE6" s="99">
        <f>+'INGRESOS '!AH5</f>
        <v>6</v>
      </c>
      <c r="AF6" s="99">
        <f>+'INGRESOS '!AI5</f>
        <v>6</v>
      </c>
      <c r="AG6" s="99">
        <f>+'INGRESOS '!AJ5</f>
        <v>6</v>
      </c>
      <c r="AH6" s="99">
        <f>+'INGRESOS '!AK5</f>
        <v>6</v>
      </c>
      <c r="AI6" s="99">
        <f>+'INGRESOS '!AL5</f>
        <v>6</v>
      </c>
      <c r="AJ6" s="99">
        <f>+'INGRESOS '!AM5</f>
        <v>6</v>
      </c>
      <c r="AK6" s="99">
        <f>+'INGRESOS '!AN5</f>
        <v>6</v>
      </c>
      <c r="AL6" s="99">
        <f>+'INGRESOS '!AO5</f>
        <v>6</v>
      </c>
      <c r="AM6" s="99">
        <f>+'INGRESOS '!AP5</f>
        <v>6</v>
      </c>
      <c r="AN6" s="99">
        <f>+'INGRESOS '!AQ5</f>
        <v>6</v>
      </c>
      <c r="AO6" s="99">
        <f>+'INGRESOS '!AR5</f>
        <v>6</v>
      </c>
      <c r="AP6" s="98">
        <f>+AO6</f>
        <v>6</v>
      </c>
      <c r="AQ6" s="257">
        <f>+'INGRESOS '!AT5</f>
        <v>6</v>
      </c>
      <c r="AR6" s="99">
        <f>+'INGRESOS '!AU5</f>
        <v>6</v>
      </c>
      <c r="AS6" s="99">
        <f>+'INGRESOS '!AV5</f>
        <v>6</v>
      </c>
      <c r="AT6" s="99">
        <f>+'INGRESOS '!AW5</f>
        <v>6</v>
      </c>
      <c r="AU6" s="99">
        <f>+'INGRESOS '!AX5</f>
        <v>6</v>
      </c>
      <c r="AV6" s="99">
        <f>+'INGRESOS '!AY5</f>
        <v>6</v>
      </c>
      <c r="AW6" s="99">
        <f>+'INGRESOS '!AZ5</f>
        <v>6</v>
      </c>
      <c r="AX6" s="99">
        <f>+'INGRESOS '!BA5</f>
        <v>6</v>
      </c>
      <c r="AY6" s="99">
        <f>+'INGRESOS '!BB5</f>
        <v>6</v>
      </c>
      <c r="AZ6" s="99">
        <f>+'INGRESOS '!BC5</f>
        <v>6</v>
      </c>
      <c r="BA6" s="99">
        <f>+'INGRESOS '!BD5</f>
        <v>6</v>
      </c>
      <c r="BB6" s="99">
        <f>+'INGRESOS '!BE5</f>
        <v>6</v>
      </c>
      <c r="BC6" s="98">
        <f>+BB6</f>
        <v>6</v>
      </c>
      <c r="BD6" s="257">
        <f>+'INGRESOS '!BG5</f>
        <v>6</v>
      </c>
      <c r="BE6" s="99">
        <f>+'INGRESOS '!BH5</f>
        <v>6</v>
      </c>
      <c r="BF6" s="99">
        <f>+'INGRESOS '!BI5</f>
        <v>6</v>
      </c>
      <c r="BG6" s="99">
        <f>+'INGRESOS '!BJ5</f>
        <v>6</v>
      </c>
      <c r="BH6" s="99">
        <f>+'INGRESOS '!BK5</f>
        <v>6</v>
      </c>
      <c r="BI6" s="99">
        <f>+'INGRESOS '!BL5</f>
        <v>6</v>
      </c>
      <c r="BJ6" s="99">
        <f>+'INGRESOS '!BM5</f>
        <v>6</v>
      </c>
      <c r="BK6" s="99">
        <f>+'INGRESOS '!BN5</f>
        <v>6</v>
      </c>
      <c r="BL6" s="99">
        <f>+'INGRESOS '!BO5</f>
        <v>6</v>
      </c>
      <c r="BM6" s="99">
        <f>+'INGRESOS '!BP5</f>
        <v>6</v>
      </c>
      <c r="BN6" s="99">
        <f>+'INGRESOS '!BQ5</f>
        <v>6</v>
      </c>
      <c r="BO6" s="99">
        <f>+'INGRESOS '!BR5</f>
        <v>6</v>
      </c>
      <c r="BP6" s="116">
        <f>+BO6</f>
        <v>6</v>
      </c>
    </row>
    <row r="7" spans="2:73" x14ac:dyDescent="0.25">
      <c r="B7" s="394" t="s">
        <v>206</v>
      </c>
      <c r="C7" s="83" t="s">
        <v>100</v>
      </c>
      <c r="D7" s="100">
        <v>60</v>
      </c>
      <c r="E7" s="100">
        <v>60</v>
      </c>
      <c r="F7" s="100">
        <v>60</v>
      </c>
      <c r="G7" s="100">
        <v>60</v>
      </c>
      <c r="H7" s="100">
        <v>60</v>
      </c>
      <c r="I7" s="100">
        <v>60</v>
      </c>
      <c r="J7" s="100">
        <v>60</v>
      </c>
      <c r="K7" s="100">
        <v>60</v>
      </c>
      <c r="L7" s="100">
        <v>60</v>
      </c>
      <c r="M7" s="100">
        <v>60</v>
      </c>
      <c r="N7" s="100">
        <v>60</v>
      </c>
      <c r="O7" s="100">
        <v>60</v>
      </c>
      <c r="P7" s="100">
        <v>60</v>
      </c>
      <c r="Q7" s="100">
        <v>60</v>
      </c>
      <c r="R7" s="100">
        <v>60</v>
      </c>
      <c r="S7" s="100">
        <v>60</v>
      </c>
      <c r="T7" s="100">
        <v>60</v>
      </c>
      <c r="U7" s="100">
        <v>60</v>
      </c>
      <c r="V7" s="100">
        <v>60</v>
      </c>
      <c r="W7" s="100">
        <v>60</v>
      </c>
      <c r="X7" s="100">
        <v>60</v>
      </c>
      <c r="Y7" s="100">
        <v>60</v>
      </c>
      <c r="Z7" s="100">
        <v>60</v>
      </c>
      <c r="AA7" s="100">
        <v>60</v>
      </c>
      <c r="AB7" s="100">
        <v>60</v>
      </c>
      <c r="AC7" s="115">
        <f>+AB7</f>
        <v>60</v>
      </c>
      <c r="AD7" s="100">
        <v>60</v>
      </c>
      <c r="AE7" s="100">
        <v>60</v>
      </c>
      <c r="AF7" s="100">
        <v>60</v>
      </c>
      <c r="AG7" s="100">
        <v>60</v>
      </c>
      <c r="AH7" s="100">
        <v>60</v>
      </c>
      <c r="AI7" s="100">
        <v>60</v>
      </c>
      <c r="AJ7" s="100">
        <v>60</v>
      </c>
      <c r="AK7" s="100">
        <v>60</v>
      </c>
      <c r="AL7" s="100">
        <v>60</v>
      </c>
      <c r="AM7" s="100">
        <v>60</v>
      </c>
      <c r="AN7" s="100">
        <v>60</v>
      </c>
      <c r="AO7" s="100">
        <v>60</v>
      </c>
      <c r="AP7" s="115">
        <f>+AO7</f>
        <v>60</v>
      </c>
      <c r="AQ7" s="249">
        <v>60</v>
      </c>
      <c r="AR7" s="100">
        <v>60</v>
      </c>
      <c r="AS7" s="100">
        <v>60</v>
      </c>
      <c r="AT7" s="100">
        <v>60</v>
      </c>
      <c r="AU7" s="100">
        <v>60</v>
      </c>
      <c r="AV7" s="100">
        <v>60</v>
      </c>
      <c r="AW7" s="100">
        <v>60</v>
      </c>
      <c r="AX7" s="100">
        <v>60</v>
      </c>
      <c r="AY7" s="100">
        <v>60</v>
      </c>
      <c r="AZ7" s="100">
        <v>60</v>
      </c>
      <c r="BA7" s="100">
        <v>60</v>
      </c>
      <c r="BB7" s="100">
        <v>60</v>
      </c>
      <c r="BC7" s="115">
        <f>+BB7</f>
        <v>60</v>
      </c>
      <c r="BD7" s="249">
        <v>60</v>
      </c>
      <c r="BE7" s="100">
        <v>60</v>
      </c>
      <c r="BF7" s="100">
        <v>60</v>
      </c>
      <c r="BG7" s="100">
        <v>60</v>
      </c>
      <c r="BH7" s="100">
        <v>60</v>
      </c>
      <c r="BI7" s="100">
        <v>60</v>
      </c>
      <c r="BJ7" s="100">
        <v>60</v>
      </c>
      <c r="BK7" s="100">
        <v>60</v>
      </c>
      <c r="BL7" s="100">
        <v>60</v>
      </c>
      <c r="BM7" s="100">
        <v>60</v>
      </c>
      <c r="BN7" s="100">
        <v>60</v>
      </c>
      <c r="BO7" s="100">
        <v>60</v>
      </c>
      <c r="BP7" s="117">
        <f>+BO7</f>
        <v>60</v>
      </c>
    </row>
    <row r="8" spans="2:73" x14ac:dyDescent="0.25">
      <c r="B8" s="395"/>
      <c r="C8" s="112" t="s">
        <v>103</v>
      </c>
      <c r="D8" s="81">
        <f t="shared" ref="D8:N8" si="8">ROUND((D5*D6)/D7,0)</f>
        <v>2500000</v>
      </c>
      <c r="E8" s="81">
        <f t="shared" si="8"/>
        <v>2500000</v>
      </c>
      <c r="F8" s="81">
        <f t="shared" si="8"/>
        <v>2500000</v>
      </c>
      <c r="G8" s="81">
        <f t="shared" si="8"/>
        <v>2500000</v>
      </c>
      <c r="H8" s="81">
        <f t="shared" si="8"/>
        <v>2500000</v>
      </c>
      <c r="I8" s="81">
        <f t="shared" si="8"/>
        <v>2500000</v>
      </c>
      <c r="J8" s="81">
        <f t="shared" si="8"/>
        <v>5000000</v>
      </c>
      <c r="K8" s="81">
        <f t="shared" si="8"/>
        <v>5000000</v>
      </c>
      <c r="L8" s="81">
        <f t="shared" si="8"/>
        <v>5000000</v>
      </c>
      <c r="M8" s="81">
        <f t="shared" si="8"/>
        <v>5000000</v>
      </c>
      <c r="N8" s="81">
        <f t="shared" si="8"/>
        <v>5000000</v>
      </c>
      <c r="O8" s="81">
        <f>ROUND((O5*O6)/O7,0)</f>
        <v>5000000</v>
      </c>
      <c r="P8" s="81">
        <f>SUM(D8:O8)</f>
        <v>45000000</v>
      </c>
      <c r="Q8" s="81">
        <f>ROUND((Q5*Q6)/Q7,0)</f>
        <v>5000000</v>
      </c>
      <c r="R8" s="81">
        <f t="shared" ref="R8:AB8" si="9">ROUND((R5*R6)/R7,0)</f>
        <v>5000000</v>
      </c>
      <c r="S8" s="81">
        <f t="shared" si="9"/>
        <v>5000000</v>
      </c>
      <c r="T8" s="81">
        <f t="shared" si="9"/>
        <v>5000000</v>
      </c>
      <c r="U8" s="81">
        <f t="shared" si="9"/>
        <v>5000000</v>
      </c>
      <c r="V8" s="81">
        <f t="shared" si="9"/>
        <v>5000000</v>
      </c>
      <c r="W8" s="81">
        <f t="shared" si="9"/>
        <v>7500000</v>
      </c>
      <c r="X8" s="81">
        <f t="shared" si="9"/>
        <v>7500000</v>
      </c>
      <c r="Y8" s="81">
        <f t="shared" si="9"/>
        <v>7500000</v>
      </c>
      <c r="Z8" s="81">
        <f t="shared" si="9"/>
        <v>7500000</v>
      </c>
      <c r="AA8" s="81">
        <f t="shared" si="9"/>
        <v>7500000</v>
      </c>
      <c r="AB8" s="81">
        <f t="shared" si="9"/>
        <v>7500000</v>
      </c>
      <c r="AC8" s="81">
        <f>SUM(Q8:AB8)</f>
        <v>75000000</v>
      </c>
      <c r="AD8" s="81">
        <f t="shared" ref="AD8:AO8" si="10">ROUND(AD5*AD6/AD7,0)</f>
        <v>7500000</v>
      </c>
      <c r="AE8" s="81">
        <f t="shared" si="10"/>
        <v>7500000</v>
      </c>
      <c r="AF8" s="81">
        <f t="shared" si="10"/>
        <v>7500000</v>
      </c>
      <c r="AG8" s="81">
        <f t="shared" si="10"/>
        <v>7500000</v>
      </c>
      <c r="AH8" s="81">
        <f t="shared" si="10"/>
        <v>7500000</v>
      </c>
      <c r="AI8" s="81">
        <f t="shared" si="10"/>
        <v>7500000</v>
      </c>
      <c r="AJ8" s="81">
        <f t="shared" si="10"/>
        <v>7500000</v>
      </c>
      <c r="AK8" s="81">
        <f t="shared" si="10"/>
        <v>7500000</v>
      </c>
      <c r="AL8" s="81">
        <f t="shared" si="10"/>
        <v>7500000</v>
      </c>
      <c r="AM8" s="81">
        <f t="shared" si="10"/>
        <v>7500000</v>
      </c>
      <c r="AN8" s="81">
        <f t="shared" si="10"/>
        <v>7500000</v>
      </c>
      <c r="AO8" s="81">
        <f t="shared" si="10"/>
        <v>7500000</v>
      </c>
      <c r="AP8" s="81">
        <f>SUM(AD8:AO8)</f>
        <v>90000000</v>
      </c>
      <c r="AQ8" s="256">
        <f t="shared" ref="AQ8:BB8" si="11">ROUND(AQ5*AQ6/AQ7,0)</f>
        <v>7500000</v>
      </c>
      <c r="AR8" s="81">
        <f t="shared" si="11"/>
        <v>7500000</v>
      </c>
      <c r="AS8" s="81">
        <f t="shared" si="11"/>
        <v>7500000</v>
      </c>
      <c r="AT8" s="81">
        <f t="shared" si="11"/>
        <v>7500000</v>
      </c>
      <c r="AU8" s="81">
        <f t="shared" si="11"/>
        <v>7500000</v>
      </c>
      <c r="AV8" s="81">
        <f t="shared" si="11"/>
        <v>7500000</v>
      </c>
      <c r="AW8" s="81">
        <f t="shared" si="11"/>
        <v>7500000</v>
      </c>
      <c r="AX8" s="81">
        <f t="shared" si="11"/>
        <v>7500000</v>
      </c>
      <c r="AY8" s="81">
        <f t="shared" si="11"/>
        <v>7500000</v>
      </c>
      <c r="AZ8" s="81">
        <f t="shared" si="11"/>
        <v>7500000</v>
      </c>
      <c r="BA8" s="81">
        <f t="shared" si="11"/>
        <v>7500000</v>
      </c>
      <c r="BB8" s="81">
        <f t="shared" si="11"/>
        <v>7500000</v>
      </c>
      <c r="BC8" s="81">
        <f>SUM(AQ8:BB8)</f>
        <v>90000000</v>
      </c>
      <c r="BD8" s="256">
        <f t="shared" ref="BD8:BO8" si="12">ROUND(BD5*BD6/BD7,0)</f>
        <v>7500000</v>
      </c>
      <c r="BE8" s="81">
        <f t="shared" si="12"/>
        <v>7500000</v>
      </c>
      <c r="BF8" s="81">
        <f t="shared" si="12"/>
        <v>7500000</v>
      </c>
      <c r="BG8" s="81">
        <f t="shared" si="12"/>
        <v>7500000</v>
      </c>
      <c r="BH8" s="81">
        <f t="shared" si="12"/>
        <v>7500000</v>
      </c>
      <c r="BI8" s="81">
        <f t="shared" si="12"/>
        <v>7500000</v>
      </c>
      <c r="BJ8" s="81">
        <f t="shared" si="12"/>
        <v>7500000</v>
      </c>
      <c r="BK8" s="81">
        <f t="shared" si="12"/>
        <v>7500000</v>
      </c>
      <c r="BL8" s="81">
        <f t="shared" si="12"/>
        <v>7500000</v>
      </c>
      <c r="BM8" s="81">
        <f t="shared" si="12"/>
        <v>7500000</v>
      </c>
      <c r="BN8" s="81">
        <f t="shared" si="12"/>
        <v>7500000</v>
      </c>
      <c r="BO8" s="81">
        <f t="shared" si="12"/>
        <v>7500000</v>
      </c>
      <c r="BP8" s="101">
        <f>SUM(BD8:BO8)</f>
        <v>90000000</v>
      </c>
      <c r="BU8" s="47"/>
    </row>
    <row r="9" spans="2:73" ht="16.5" customHeight="1" x14ac:dyDescent="0.25">
      <c r="B9" s="389" t="s">
        <v>52</v>
      </c>
      <c r="C9" s="58" t="s">
        <v>101</v>
      </c>
      <c r="D9" s="102">
        <v>600900</v>
      </c>
      <c r="E9" s="74">
        <f>+D9</f>
        <v>600900</v>
      </c>
      <c r="F9" s="74">
        <f t="shared" ref="F9:O9" si="13">+E9</f>
        <v>600900</v>
      </c>
      <c r="G9" s="74">
        <f t="shared" si="13"/>
        <v>600900</v>
      </c>
      <c r="H9" s="74">
        <f t="shared" si="13"/>
        <v>600900</v>
      </c>
      <c r="I9" s="74">
        <f t="shared" si="13"/>
        <v>600900</v>
      </c>
      <c r="J9" s="74">
        <f t="shared" si="13"/>
        <v>600900</v>
      </c>
      <c r="K9" s="74">
        <f t="shared" si="13"/>
        <v>600900</v>
      </c>
      <c r="L9" s="74">
        <f t="shared" si="13"/>
        <v>600900</v>
      </c>
      <c r="M9" s="74">
        <f t="shared" si="13"/>
        <v>600900</v>
      </c>
      <c r="N9" s="74">
        <f t="shared" si="13"/>
        <v>600900</v>
      </c>
      <c r="O9" s="74">
        <f t="shared" si="13"/>
        <v>600900</v>
      </c>
      <c r="P9" s="75">
        <f>+O9</f>
        <v>600900</v>
      </c>
      <c r="Q9" s="75">
        <f>ROUND(+O9*(1+O10),0)</f>
        <v>624936</v>
      </c>
      <c r="R9" s="75">
        <f>+Q9</f>
        <v>624936</v>
      </c>
      <c r="S9" s="75">
        <f t="shared" ref="S9:AB9" si="14">+R9</f>
        <v>624936</v>
      </c>
      <c r="T9" s="75">
        <f t="shared" si="14"/>
        <v>624936</v>
      </c>
      <c r="U9" s="75">
        <f t="shared" si="14"/>
        <v>624936</v>
      </c>
      <c r="V9" s="75">
        <f t="shared" si="14"/>
        <v>624936</v>
      </c>
      <c r="W9" s="75">
        <f t="shared" si="14"/>
        <v>624936</v>
      </c>
      <c r="X9" s="75">
        <f t="shared" si="14"/>
        <v>624936</v>
      </c>
      <c r="Y9" s="75">
        <f t="shared" si="14"/>
        <v>624936</v>
      </c>
      <c r="Z9" s="75">
        <f t="shared" si="14"/>
        <v>624936</v>
      </c>
      <c r="AA9" s="75">
        <f t="shared" si="14"/>
        <v>624936</v>
      </c>
      <c r="AB9" s="75">
        <f t="shared" si="14"/>
        <v>624936</v>
      </c>
      <c r="AC9" s="75">
        <f>+AB9</f>
        <v>624936</v>
      </c>
      <c r="AD9" s="75">
        <f>ROUND(AB9*(1+AB10),0)</f>
        <v>649933</v>
      </c>
      <c r="AE9" s="75">
        <f>+AD9</f>
        <v>649933</v>
      </c>
      <c r="AF9" s="75">
        <f t="shared" ref="AF9:AO9" si="15">+AE9</f>
        <v>649933</v>
      </c>
      <c r="AG9" s="75">
        <f t="shared" si="15"/>
        <v>649933</v>
      </c>
      <c r="AH9" s="75">
        <f t="shared" si="15"/>
        <v>649933</v>
      </c>
      <c r="AI9" s="75">
        <f t="shared" si="15"/>
        <v>649933</v>
      </c>
      <c r="AJ9" s="75">
        <f t="shared" si="15"/>
        <v>649933</v>
      </c>
      <c r="AK9" s="75">
        <f t="shared" si="15"/>
        <v>649933</v>
      </c>
      <c r="AL9" s="75">
        <f t="shared" si="15"/>
        <v>649933</v>
      </c>
      <c r="AM9" s="75">
        <f t="shared" si="15"/>
        <v>649933</v>
      </c>
      <c r="AN9" s="75">
        <f t="shared" si="15"/>
        <v>649933</v>
      </c>
      <c r="AO9" s="75">
        <f t="shared" si="15"/>
        <v>649933</v>
      </c>
      <c r="AP9" s="75">
        <f>+AO9</f>
        <v>649933</v>
      </c>
      <c r="AQ9" s="254">
        <f>ROUND(AO9*(1+AO10),0)</f>
        <v>649933</v>
      </c>
      <c r="AR9" s="75">
        <f t="shared" ref="AR9:BC9" si="16">+AQ9</f>
        <v>649933</v>
      </c>
      <c r="AS9" s="75">
        <f t="shared" si="16"/>
        <v>649933</v>
      </c>
      <c r="AT9" s="75">
        <f t="shared" si="16"/>
        <v>649933</v>
      </c>
      <c r="AU9" s="75">
        <f t="shared" si="16"/>
        <v>649933</v>
      </c>
      <c r="AV9" s="75">
        <f t="shared" si="16"/>
        <v>649933</v>
      </c>
      <c r="AW9" s="75">
        <f t="shared" si="16"/>
        <v>649933</v>
      </c>
      <c r="AX9" s="75">
        <f t="shared" si="16"/>
        <v>649933</v>
      </c>
      <c r="AY9" s="75">
        <f t="shared" si="16"/>
        <v>649933</v>
      </c>
      <c r="AZ9" s="75">
        <f t="shared" si="16"/>
        <v>649933</v>
      </c>
      <c r="BA9" s="75">
        <f t="shared" si="16"/>
        <v>649933</v>
      </c>
      <c r="BB9" s="75">
        <f t="shared" si="16"/>
        <v>649933</v>
      </c>
      <c r="BC9" s="75">
        <f t="shared" si="16"/>
        <v>649933</v>
      </c>
      <c r="BD9" s="254">
        <f>ROUND(BB9*(1+BB10),0)</f>
        <v>649933</v>
      </c>
      <c r="BE9" s="75">
        <f t="shared" ref="BE9:BP9" si="17">+BD9</f>
        <v>649933</v>
      </c>
      <c r="BF9" s="75">
        <f t="shared" si="17"/>
        <v>649933</v>
      </c>
      <c r="BG9" s="75">
        <f t="shared" si="17"/>
        <v>649933</v>
      </c>
      <c r="BH9" s="75">
        <f t="shared" si="17"/>
        <v>649933</v>
      </c>
      <c r="BI9" s="75">
        <f t="shared" si="17"/>
        <v>649933</v>
      </c>
      <c r="BJ9" s="75">
        <f t="shared" si="17"/>
        <v>649933</v>
      </c>
      <c r="BK9" s="75">
        <f t="shared" si="17"/>
        <v>649933</v>
      </c>
      <c r="BL9" s="75">
        <f t="shared" si="17"/>
        <v>649933</v>
      </c>
      <c r="BM9" s="75">
        <f t="shared" si="17"/>
        <v>649933</v>
      </c>
      <c r="BN9" s="75">
        <f t="shared" si="17"/>
        <v>649933</v>
      </c>
      <c r="BO9" s="75">
        <f t="shared" si="17"/>
        <v>649933</v>
      </c>
      <c r="BP9" s="82">
        <f t="shared" si="17"/>
        <v>649933</v>
      </c>
    </row>
    <row r="10" spans="2:73" x14ac:dyDescent="0.25">
      <c r="B10" s="390"/>
      <c r="C10" s="58" t="s">
        <v>102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7">
        <v>0.04</v>
      </c>
      <c r="P10" s="78">
        <f>+O10</f>
        <v>0.04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77">
        <v>0.04</v>
      </c>
      <c r="AC10" s="78">
        <f>+AB10</f>
        <v>0.04</v>
      </c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19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19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63"/>
    </row>
    <row r="11" spans="2:73" x14ac:dyDescent="0.25">
      <c r="B11" s="390"/>
      <c r="C11" s="103" t="s">
        <v>212</v>
      </c>
      <c r="D11" s="81">
        <f>ROUND((D9*D$6)/12,0)</f>
        <v>100150</v>
      </c>
      <c r="E11" s="81">
        <f t="shared" ref="E11:AO11" si="18">ROUND((E9*E$6)/12,0)</f>
        <v>100150</v>
      </c>
      <c r="F11" s="81">
        <f t="shared" si="18"/>
        <v>100150</v>
      </c>
      <c r="G11" s="81">
        <f t="shared" si="18"/>
        <v>100150</v>
      </c>
      <c r="H11" s="81">
        <f t="shared" si="18"/>
        <v>100150</v>
      </c>
      <c r="I11" s="81">
        <f t="shared" si="18"/>
        <v>100150</v>
      </c>
      <c r="J11" s="81">
        <f t="shared" si="18"/>
        <v>200300</v>
      </c>
      <c r="K11" s="81">
        <f t="shared" si="18"/>
        <v>200300</v>
      </c>
      <c r="L11" s="81">
        <f t="shared" si="18"/>
        <v>200300</v>
      </c>
      <c r="M11" s="81">
        <f t="shared" si="18"/>
        <v>200300</v>
      </c>
      <c r="N11" s="81">
        <f t="shared" si="18"/>
        <v>200300</v>
      </c>
      <c r="O11" s="81">
        <f t="shared" si="18"/>
        <v>200300</v>
      </c>
      <c r="P11" s="81">
        <f>SUM(D11:O11)</f>
        <v>1802700</v>
      </c>
      <c r="Q11" s="81">
        <f t="shared" si="18"/>
        <v>208312</v>
      </c>
      <c r="R11" s="81">
        <f t="shared" si="18"/>
        <v>208312</v>
      </c>
      <c r="S11" s="81">
        <f t="shared" si="18"/>
        <v>208312</v>
      </c>
      <c r="T11" s="81">
        <f t="shared" si="18"/>
        <v>208312</v>
      </c>
      <c r="U11" s="81">
        <f t="shared" si="18"/>
        <v>208312</v>
      </c>
      <c r="V11" s="81">
        <f t="shared" si="18"/>
        <v>208312</v>
      </c>
      <c r="W11" s="81">
        <f t="shared" si="18"/>
        <v>312468</v>
      </c>
      <c r="X11" s="81">
        <f t="shared" si="18"/>
        <v>312468</v>
      </c>
      <c r="Y11" s="81">
        <f t="shared" si="18"/>
        <v>312468</v>
      </c>
      <c r="Z11" s="81">
        <f t="shared" si="18"/>
        <v>312468</v>
      </c>
      <c r="AA11" s="81">
        <f t="shared" si="18"/>
        <v>312468</v>
      </c>
      <c r="AB11" s="81">
        <f t="shared" si="18"/>
        <v>312468</v>
      </c>
      <c r="AC11" s="81">
        <f>SUM(Q11:AB11)</f>
        <v>3124680</v>
      </c>
      <c r="AD11" s="81">
        <f t="shared" si="18"/>
        <v>324967</v>
      </c>
      <c r="AE11" s="81">
        <f t="shared" si="18"/>
        <v>324967</v>
      </c>
      <c r="AF11" s="81">
        <f t="shared" si="18"/>
        <v>324967</v>
      </c>
      <c r="AG11" s="81">
        <f t="shared" si="18"/>
        <v>324967</v>
      </c>
      <c r="AH11" s="81">
        <f t="shared" si="18"/>
        <v>324967</v>
      </c>
      <c r="AI11" s="81">
        <f t="shared" si="18"/>
        <v>324967</v>
      </c>
      <c r="AJ11" s="81">
        <f t="shared" si="18"/>
        <v>324967</v>
      </c>
      <c r="AK11" s="81">
        <f t="shared" si="18"/>
        <v>324967</v>
      </c>
      <c r="AL11" s="81">
        <f t="shared" si="18"/>
        <v>324967</v>
      </c>
      <c r="AM11" s="81">
        <f t="shared" si="18"/>
        <v>324967</v>
      </c>
      <c r="AN11" s="81">
        <f t="shared" si="18"/>
        <v>324967</v>
      </c>
      <c r="AO11" s="81">
        <f t="shared" si="18"/>
        <v>324967</v>
      </c>
      <c r="AP11" s="81">
        <f>SUM(AD11:AO11)</f>
        <v>3899604</v>
      </c>
      <c r="AQ11" s="256">
        <f t="shared" ref="AQ11:BB11" si="19">ROUND((AQ9*AQ$6)/12,0)</f>
        <v>324967</v>
      </c>
      <c r="AR11" s="81">
        <f t="shared" si="19"/>
        <v>324967</v>
      </c>
      <c r="AS11" s="81">
        <f t="shared" si="19"/>
        <v>324967</v>
      </c>
      <c r="AT11" s="81">
        <f t="shared" si="19"/>
        <v>324967</v>
      </c>
      <c r="AU11" s="81">
        <f t="shared" si="19"/>
        <v>324967</v>
      </c>
      <c r="AV11" s="81">
        <f t="shared" si="19"/>
        <v>324967</v>
      </c>
      <c r="AW11" s="81">
        <f t="shared" si="19"/>
        <v>324967</v>
      </c>
      <c r="AX11" s="81">
        <f t="shared" si="19"/>
        <v>324967</v>
      </c>
      <c r="AY11" s="81">
        <f t="shared" si="19"/>
        <v>324967</v>
      </c>
      <c r="AZ11" s="81">
        <f t="shared" si="19"/>
        <v>324967</v>
      </c>
      <c r="BA11" s="81">
        <f t="shared" si="19"/>
        <v>324967</v>
      </c>
      <c r="BB11" s="81">
        <f t="shared" si="19"/>
        <v>324967</v>
      </c>
      <c r="BC11" s="81">
        <f>SUM(AQ11:BB11)</f>
        <v>3899604</v>
      </c>
      <c r="BD11" s="256">
        <f t="shared" ref="BD11:BO11" si="20">ROUND((BD9*BD$6)/12,0)</f>
        <v>324967</v>
      </c>
      <c r="BE11" s="81">
        <f t="shared" si="20"/>
        <v>324967</v>
      </c>
      <c r="BF11" s="81">
        <f t="shared" si="20"/>
        <v>324967</v>
      </c>
      <c r="BG11" s="81">
        <f t="shared" si="20"/>
        <v>324967</v>
      </c>
      <c r="BH11" s="81">
        <f t="shared" si="20"/>
        <v>324967</v>
      </c>
      <c r="BI11" s="81">
        <f t="shared" si="20"/>
        <v>324967</v>
      </c>
      <c r="BJ11" s="81">
        <f t="shared" si="20"/>
        <v>324967</v>
      </c>
      <c r="BK11" s="81">
        <f t="shared" si="20"/>
        <v>324967</v>
      </c>
      <c r="BL11" s="81">
        <f t="shared" si="20"/>
        <v>324967</v>
      </c>
      <c r="BM11" s="81">
        <f t="shared" si="20"/>
        <v>324967</v>
      </c>
      <c r="BN11" s="81">
        <f t="shared" si="20"/>
        <v>324967</v>
      </c>
      <c r="BO11" s="81">
        <f t="shared" si="20"/>
        <v>324967</v>
      </c>
      <c r="BP11" s="101">
        <f>SUM(BD11:BO11)</f>
        <v>3899604</v>
      </c>
    </row>
    <row r="12" spans="2:73" x14ac:dyDescent="0.25">
      <c r="B12" s="390"/>
      <c r="C12" s="83" t="s">
        <v>104</v>
      </c>
      <c r="D12" s="102">
        <v>3248000</v>
      </c>
      <c r="E12" s="74">
        <f>+D12</f>
        <v>3248000</v>
      </c>
      <c r="F12" s="74">
        <f t="shared" ref="F12:O12" si="21">+E12</f>
        <v>3248000</v>
      </c>
      <c r="G12" s="74">
        <f t="shared" si="21"/>
        <v>3248000</v>
      </c>
      <c r="H12" s="74">
        <f t="shared" si="21"/>
        <v>3248000</v>
      </c>
      <c r="I12" s="74">
        <f t="shared" si="21"/>
        <v>3248000</v>
      </c>
      <c r="J12" s="74">
        <f t="shared" si="21"/>
        <v>3248000</v>
      </c>
      <c r="K12" s="74">
        <f t="shared" si="21"/>
        <v>3248000</v>
      </c>
      <c r="L12" s="74">
        <f t="shared" si="21"/>
        <v>3248000</v>
      </c>
      <c r="M12" s="74">
        <f t="shared" si="21"/>
        <v>3248000</v>
      </c>
      <c r="N12" s="74">
        <f t="shared" si="21"/>
        <v>3248000</v>
      </c>
      <c r="O12" s="74">
        <f t="shared" si="21"/>
        <v>3248000</v>
      </c>
      <c r="P12" s="75">
        <f>+O12</f>
        <v>3248000</v>
      </c>
      <c r="Q12" s="75">
        <f>ROUND(+O12*(1+O13),0)</f>
        <v>3377920</v>
      </c>
      <c r="R12" s="75">
        <f>+Q12</f>
        <v>3377920</v>
      </c>
      <c r="S12" s="75">
        <f t="shared" ref="S12:AB12" si="22">+R12</f>
        <v>3377920</v>
      </c>
      <c r="T12" s="75">
        <f t="shared" si="22"/>
        <v>3377920</v>
      </c>
      <c r="U12" s="75">
        <f t="shared" si="22"/>
        <v>3377920</v>
      </c>
      <c r="V12" s="75">
        <f t="shared" si="22"/>
        <v>3377920</v>
      </c>
      <c r="W12" s="75">
        <f t="shared" si="22"/>
        <v>3377920</v>
      </c>
      <c r="X12" s="75">
        <f t="shared" si="22"/>
        <v>3377920</v>
      </c>
      <c r="Y12" s="75">
        <f t="shared" si="22"/>
        <v>3377920</v>
      </c>
      <c r="Z12" s="75">
        <f t="shared" si="22"/>
        <v>3377920</v>
      </c>
      <c r="AA12" s="75">
        <f t="shared" si="22"/>
        <v>3377920</v>
      </c>
      <c r="AB12" s="75">
        <f t="shared" si="22"/>
        <v>3377920</v>
      </c>
      <c r="AC12" s="75">
        <f>+AB12</f>
        <v>3377920</v>
      </c>
      <c r="AD12" s="75">
        <f>ROUND(AB12*(1+AB13),0)</f>
        <v>3513037</v>
      </c>
      <c r="AE12" s="75">
        <f>+AD12</f>
        <v>3513037</v>
      </c>
      <c r="AF12" s="75">
        <f t="shared" ref="AF12:AO12" si="23">+AE12</f>
        <v>3513037</v>
      </c>
      <c r="AG12" s="75">
        <f t="shared" si="23"/>
        <v>3513037</v>
      </c>
      <c r="AH12" s="75">
        <f t="shared" si="23"/>
        <v>3513037</v>
      </c>
      <c r="AI12" s="75">
        <f t="shared" si="23"/>
        <v>3513037</v>
      </c>
      <c r="AJ12" s="75">
        <f t="shared" si="23"/>
        <v>3513037</v>
      </c>
      <c r="AK12" s="75">
        <f t="shared" si="23"/>
        <v>3513037</v>
      </c>
      <c r="AL12" s="75">
        <f t="shared" si="23"/>
        <v>3513037</v>
      </c>
      <c r="AM12" s="75">
        <f t="shared" si="23"/>
        <v>3513037</v>
      </c>
      <c r="AN12" s="75">
        <f t="shared" si="23"/>
        <v>3513037</v>
      </c>
      <c r="AO12" s="75">
        <f t="shared" si="23"/>
        <v>3513037</v>
      </c>
      <c r="AP12" s="75">
        <f>+AO12</f>
        <v>3513037</v>
      </c>
      <c r="AQ12" s="254">
        <f>ROUND(AO12*(1+AO13),0)</f>
        <v>3513037</v>
      </c>
      <c r="AR12" s="75">
        <f t="shared" ref="AR12:BC12" si="24">+AQ12</f>
        <v>3513037</v>
      </c>
      <c r="AS12" s="75">
        <f t="shared" si="24"/>
        <v>3513037</v>
      </c>
      <c r="AT12" s="75">
        <f t="shared" si="24"/>
        <v>3513037</v>
      </c>
      <c r="AU12" s="75">
        <f t="shared" si="24"/>
        <v>3513037</v>
      </c>
      <c r="AV12" s="75">
        <f t="shared" si="24"/>
        <v>3513037</v>
      </c>
      <c r="AW12" s="75">
        <f t="shared" si="24"/>
        <v>3513037</v>
      </c>
      <c r="AX12" s="75">
        <f t="shared" si="24"/>
        <v>3513037</v>
      </c>
      <c r="AY12" s="75">
        <f t="shared" si="24"/>
        <v>3513037</v>
      </c>
      <c r="AZ12" s="75">
        <f t="shared" si="24"/>
        <v>3513037</v>
      </c>
      <c r="BA12" s="75">
        <f t="shared" si="24"/>
        <v>3513037</v>
      </c>
      <c r="BB12" s="75">
        <f t="shared" si="24"/>
        <v>3513037</v>
      </c>
      <c r="BC12" s="75">
        <f t="shared" si="24"/>
        <v>3513037</v>
      </c>
      <c r="BD12" s="254">
        <f>ROUND(BB12*(1+BB13),0)</f>
        <v>3513037</v>
      </c>
      <c r="BE12" s="75">
        <f t="shared" ref="BE12:BP12" si="25">+BD12</f>
        <v>3513037</v>
      </c>
      <c r="BF12" s="75">
        <f t="shared" si="25"/>
        <v>3513037</v>
      </c>
      <c r="BG12" s="75">
        <f t="shared" si="25"/>
        <v>3513037</v>
      </c>
      <c r="BH12" s="75">
        <f t="shared" si="25"/>
        <v>3513037</v>
      </c>
      <c r="BI12" s="75">
        <f t="shared" si="25"/>
        <v>3513037</v>
      </c>
      <c r="BJ12" s="75">
        <f t="shared" si="25"/>
        <v>3513037</v>
      </c>
      <c r="BK12" s="75">
        <f t="shared" si="25"/>
        <v>3513037</v>
      </c>
      <c r="BL12" s="75">
        <f t="shared" si="25"/>
        <v>3513037</v>
      </c>
      <c r="BM12" s="75">
        <f t="shared" si="25"/>
        <v>3513037</v>
      </c>
      <c r="BN12" s="75">
        <f t="shared" si="25"/>
        <v>3513037</v>
      </c>
      <c r="BO12" s="75">
        <f t="shared" si="25"/>
        <v>3513037</v>
      </c>
      <c r="BP12" s="82">
        <f t="shared" si="25"/>
        <v>3513037</v>
      </c>
    </row>
    <row r="13" spans="2:73" x14ac:dyDescent="0.25">
      <c r="B13" s="390"/>
      <c r="C13" s="58" t="s">
        <v>102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77">
        <v>0.04</v>
      </c>
      <c r="P13" s="78">
        <f>+O13</f>
        <v>0.04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77">
        <v>0.04</v>
      </c>
      <c r="AC13" s="78">
        <f>+AB13</f>
        <v>0.04</v>
      </c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19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19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63"/>
    </row>
    <row r="14" spans="2:73" x14ac:dyDescent="0.25">
      <c r="B14" s="390"/>
      <c r="C14" s="103" t="s">
        <v>211</v>
      </c>
      <c r="D14" s="81">
        <f>ROUND((D12*D$6)/12,0)</f>
        <v>541333</v>
      </c>
      <c r="E14" s="81">
        <f t="shared" ref="E14:AO14" si="26">ROUND((E12*E$6)/12,0)</f>
        <v>541333</v>
      </c>
      <c r="F14" s="81">
        <f t="shared" si="26"/>
        <v>541333</v>
      </c>
      <c r="G14" s="81">
        <f t="shared" si="26"/>
        <v>541333</v>
      </c>
      <c r="H14" s="81">
        <f t="shared" si="26"/>
        <v>541333</v>
      </c>
      <c r="I14" s="81">
        <f t="shared" si="26"/>
        <v>541333</v>
      </c>
      <c r="J14" s="81">
        <f t="shared" si="26"/>
        <v>1082667</v>
      </c>
      <c r="K14" s="81">
        <f t="shared" si="26"/>
        <v>1082667</v>
      </c>
      <c r="L14" s="81">
        <f t="shared" si="26"/>
        <v>1082667</v>
      </c>
      <c r="M14" s="81">
        <f t="shared" si="26"/>
        <v>1082667</v>
      </c>
      <c r="N14" s="81">
        <f t="shared" si="26"/>
        <v>1082667</v>
      </c>
      <c r="O14" s="81">
        <f t="shared" si="26"/>
        <v>1082667</v>
      </c>
      <c r="P14" s="81">
        <f>SUM(D14:O14)</f>
        <v>9744000</v>
      </c>
      <c r="Q14" s="81">
        <f t="shared" si="26"/>
        <v>1125973</v>
      </c>
      <c r="R14" s="81">
        <f t="shared" si="26"/>
        <v>1125973</v>
      </c>
      <c r="S14" s="81">
        <f t="shared" si="26"/>
        <v>1125973</v>
      </c>
      <c r="T14" s="81">
        <f t="shared" si="26"/>
        <v>1125973</v>
      </c>
      <c r="U14" s="81">
        <f t="shared" si="26"/>
        <v>1125973</v>
      </c>
      <c r="V14" s="81">
        <f t="shared" si="26"/>
        <v>1125973</v>
      </c>
      <c r="W14" s="81">
        <f t="shared" si="26"/>
        <v>1688960</v>
      </c>
      <c r="X14" s="81">
        <f t="shared" si="26"/>
        <v>1688960</v>
      </c>
      <c r="Y14" s="81">
        <f t="shared" si="26"/>
        <v>1688960</v>
      </c>
      <c r="Z14" s="81">
        <f t="shared" si="26"/>
        <v>1688960</v>
      </c>
      <c r="AA14" s="81">
        <f t="shared" si="26"/>
        <v>1688960</v>
      </c>
      <c r="AB14" s="81">
        <f t="shared" si="26"/>
        <v>1688960</v>
      </c>
      <c r="AC14" s="81">
        <f>SUM(Q14:AB14)</f>
        <v>16889598</v>
      </c>
      <c r="AD14" s="81">
        <f t="shared" si="26"/>
        <v>1756519</v>
      </c>
      <c r="AE14" s="81">
        <f t="shared" si="26"/>
        <v>1756519</v>
      </c>
      <c r="AF14" s="81">
        <f t="shared" si="26"/>
        <v>1756519</v>
      </c>
      <c r="AG14" s="81">
        <f t="shared" si="26"/>
        <v>1756519</v>
      </c>
      <c r="AH14" s="81">
        <f t="shared" si="26"/>
        <v>1756519</v>
      </c>
      <c r="AI14" s="81">
        <f t="shared" si="26"/>
        <v>1756519</v>
      </c>
      <c r="AJ14" s="81">
        <f t="shared" si="26"/>
        <v>1756519</v>
      </c>
      <c r="AK14" s="81">
        <f t="shared" si="26"/>
        <v>1756519</v>
      </c>
      <c r="AL14" s="81">
        <f t="shared" si="26"/>
        <v>1756519</v>
      </c>
      <c r="AM14" s="81">
        <f t="shared" si="26"/>
        <v>1756519</v>
      </c>
      <c r="AN14" s="81">
        <f t="shared" si="26"/>
        <v>1756519</v>
      </c>
      <c r="AO14" s="81">
        <f t="shared" si="26"/>
        <v>1756519</v>
      </c>
      <c r="AP14" s="81">
        <f>SUM(AD14:AO14)</f>
        <v>21078228</v>
      </c>
      <c r="AQ14" s="256">
        <f t="shared" ref="AQ14:BB14" si="27">ROUND((AQ12*AQ$6)/12,0)</f>
        <v>1756519</v>
      </c>
      <c r="AR14" s="81">
        <f t="shared" si="27"/>
        <v>1756519</v>
      </c>
      <c r="AS14" s="81">
        <f t="shared" si="27"/>
        <v>1756519</v>
      </c>
      <c r="AT14" s="81">
        <f t="shared" si="27"/>
        <v>1756519</v>
      </c>
      <c r="AU14" s="81">
        <f t="shared" si="27"/>
        <v>1756519</v>
      </c>
      <c r="AV14" s="81">
        <f t="shared" si="27"/>
        <v>1756519</v>
      </c>
      <c r="AW14" s="81">
        <f t="shared" si="27"/>
        <v>1756519</v>
      </c>
      <c r="AX14" s="81">
        <f t="shared" si="27"/>
        <v>1756519</v>
      </c>
      <c r="AY14" s="81">
        <f t="shared" si="27"/>
        <v>1756519</v>
      </c>
      <c r="AZ14" s="81">
        <f t="shared" si="27"/>
        <v>1756519</v>
      </c>
      <c r="BA14" s="81">
        <f t="shared" si="27"/>
        <v>1756519</v>
      </c>
      <c r="BB14" s="81">
        <f t="shared" si="27"/>
        <v>1756519</v>
      </c>
      <c r="BC14" s="81">
        <f>SUM(AQ14:BB14)</f>
        <v>21078228</v>
      </c>
      <c r="BD14" s="256">
        <f t="shared" ref="BD14:BO14" si="28">ROUND((BD12*BD$6)/12,0)</f>
        <v>1756519</v>
      </c>
      <c r="BE14" s="81">
        <f t="shared" si="28"/>
        <v>1756519</v>
      </c>
      <c r="BF14" s="81">
        <f t="shared" si="28"/>
        <v>1756519</v>
      </c>
      <c r="BG14" s="81">
        <f t="shared" si="28"/>
        <v>1756519</v>
      </c>
      <c r="BH14" s="81">
        <f t="shared" si="28"/>
        <v>1756519</v>
      </c>
      <c r="BI14" s="81">
        <f t="shared" si="28"/>
        <v>1756519</v>
      </c>
      <c r="BJ14" s="81">
        <f t="shared" si="28"/>
        <v>1756519</v>
      </c>
      <c r="BK14" s="81">
        <f t="shared" si="28"/>
        <v>1756519</v>
      </c>
      <c r="BL14" s="81">
        <f t="shared" si="28"/>
        <v>1756519</v>
      </c>
      <c r="BM14" s="81">
        <f t="shared" si="28"/>
        <v>1756519</v>
      </c>
      <c r="BN14" s="81">
        <f t="shared" si="28"/>
        <v>1756519</v>
      </c>
      <c r="BO14" s="81">
        <f t="shared" si="28"/>
        <v>1756519</v>
      </c>
      <c r="BP14" s="101">
        <f>SUM(BD14:BO14)</f>
        <v>21078228</v>
      </c>
    </row>
    <row r="15" spans="2:73" x14ac:dyDescent="0.25">
      <c r="B15" s="391"/>
      <c r="C15" s="103" t="s">
        <v>213</v>
      </c>
      <c r="D15" s="81">
        <f t="shared" ref="D15:O15" si="29">+D11+D14</f>
        <v>641483</v>
      </c>
      <c r="E15" s="81">
        <f t="shared" si="29"/>
        <v>641483</v>
      </c>
      <c r="F15" s="81">
        <f t="shared" si="29"/>
        <v>641483</v>
      </c>
      <c r="G15" s="81">
        <f t="shared" si="29"/>
        <v>641483</v>
      </c>
      <c r="H15" s="81">
        <f t="shared" si="29"/>
        <v>641483</v>
      </c>
      <c r="I15" s="81">
        <f t="shared" si="29"/>
        <v>641483</v>
      </c>
      <c r="J15" s="81">
        <f t="shared" si="29"/>
        <v>1282967</v>
      </c>
      <c r="K15" s="81">
        <f t="shared" si="29"/>
        <v>1282967</v>
      </c>
      <c r="L15" s="81">
        <f t="shared" si="29"/>
        <v>1282967</v>
      </c>
      <c r="M15" s="81">
        <f t="shared" si="29"/>
        <v>1282967</v>
      </c>
      <c r="N15" s="81">
        <f t="shared" si="29"/>
        <v>1282967</v>
      </c>
      <c r="O15" s="81">
        <f t="shared" si="29"/>
        <v>1282967</v>
      </c>
      <c r="P15" s="81">
        <f>SUM(D15:O15)</f>
        <v>11546700</v>
      </c>
      <c r="Q15" s="81">
        <f t="shared" ref="Q15:AB15" si="30">+Q11+Q14</f>
        <v>1334285</v>
      </c>
      <c r="R15" s="81">
        <f t="shared" si="30"/>
        <v>1334285</v>
      </c>
      <c r="S15" s="81">
        <f t="shared" si="30"/>
        <v>1334285</v>
      </c>
      <c r="T15" s="81">
        <f t="shared" si="30"/>
        <v>1334285</v>
      </c>
      <c r="U15" s="81">
        <f t="shared" si="30"/>
        <v>1334285</v>
      </c>
      <c r="V15" s="81">
        <f t="shared" si="30"/>
        <v>1334285</v>
      </c>
      <c r="W15" s="81">
        <f t="shared" si="30"/>
        <v>2001428</v>
      </c>
      <c r="X15" s="81">
        <f t="shared" si="30"/>
        <v>2001428</v>
      </c>
      <c r="Y15" s="81">
        <f t="shared" si="30"/>
        <v>2001428</v>
      </c>
      <c r="Z15" s="81">
        <f t="shared" si="30"/>
        <v>2001428</v>
      </c>
      <c r="AA15" s="81">
        <f t="shared" si="30"/>
        <v>2001428</v>
      </c>
      <c r="AB15" s="81">
        <f t="shared" si="30"/>
        <v>2001428</v>
      </c>
      <c r="AC15" s="81">
        <f>SUM(Q15:AB15)</f>
        <v>20014278</v>
      </c>
      <c r="AD15" s="81">
        <f t="shared" ref="AD15:AO15" si="31">+AD11+AD14</f>
        <v>2081486</v>
      </c>
      <c r="AE15" s="81">
        <f t="shared" si="31"/>
        <v>2081486</v>
      </c>
      <c r="AF15" s="81">
        <f t="shared" si="31"/>
        <v>2081486</v>
      </c>
      <c r="AG15" s="81">
        <f t="shared" si="31"/>
        <v>2081486</v>
      </c>
      <c r="AH15" s="81">
        <f t="shared" si="31"/>
        <v>2081486</v>
      </c>
      <c r="AI15" s="81">
        <f t="shared" si="31"/>
        <v>2081486</v>
      </c>
      <c r="AJ15" s="81">
        <f t="shared" si="31"/>
        <v>2081486</v>
      </c>
      <c r="AK15" s="81">
        <f t="shared" si="31"/>
        <v>2081486</v>
      </c>
      <c r="AL15" s="81">
        <f t="shared" si="31"/>
        <v>2081486</v>
      </c>
      <c r="AM15" s="81">
        <f t="shared" si="31"/>
        <v>2081486</v>
      </c>
      <c r="AN15" s="81">
        <f t="shared" si="31"/>
        <v>2081486</v>
      </c>
      <c r="AO15" s="81">
        <f t="shared" si="31"/>
        <v>2081486</v>
      </c>
      <c r="AP15" s="81">
        <f>SUM(AD15:AO15)</f>
        <v>24977832</v>
      </c>
      <c r="AQ15" s="256">
        <f t="shared" ref="AQ15:BB15" si="32">+AQ11+AQ14</f>
        <v>2081486</v>
      </c>
      <c r="AR15" s="81">
        <f t="shared" si="32"/>
        <v>2081486</v>
      </c>
      <c r="AS15" s="81">
        <f t="shared" si="32"/>
        <v>2081486</v>
      </c>
      <c r="AT15" s="81">
        <f t="shared" si="32"/>
        <v>2081486</v>
      </c>
      <c r="AU15" s="81">
        <f t="shared" si="32"/>
        <v>2081486</v>
      </c>
      <c r="AV15" s="81">
        <f t="shared" si="32"/>
        <v>2081486</v>
      </c>
      <c r="AW15" s="81">
        <f t="shared" si="32"/>
        <v>2081486</v>
      </c>
      <c r="AX15" s="81">
        <f t="shared" si="32"/>
        <v>2081486</v>
      </c>
      <c r="AY15" s="81">
        <f t="shared" si="32"/>
        <v>2081486</v>
      </c>
      <c r="AZ15" s="81">
        <f t="shared" si="32"/>
        <v>2081486</v>
      </c>
      <c r="BA15" s="81">
        <f t="shared" si="32"/>
        <v>2081486</v>
      </c>
      <c r="BB15" s="81">
        <f t="shared" si="32"/>
        <v>2081486</v>
      </c>
      <c r="BC15" s="81">
        <f>SUM(AQ15:BB15)</f>
        <v>24977832</v>
      </c>
      <c r="BD15" s="256">
        <f t="shared" ref="BD15:BO15" si="33">+BD11+BD14</f>
        <v>2081486</v>
      </c>
      <c r="BE15" s="81">
        <f t="shared" si="33"/>
        <v>2081486</v>
      </c>
      <c r="BF15" s="81">
        <f t="shared" si="33"/>
        <v>2081486</v>
      </c>
      <c r="BG15" s="81">
        <f t="shared" si="33"/>
        <v>2081486</v>
      </c>
      <c r="BH15" s="81">
        <f t="shared" si="33"/>
        <v>2081486</v>
      </c>
      <c r="BI15" s="81">
        <f t="shared" si="33"/>
        <v>2081486</v>
      </c>
      <c r="BJ15" s="81">
        <f t="shared" si="33"/>
        <v>2081486</v>
      </c>
      <c r="BK15" s="81">
        <f t="shared" si="33"/>
        <v>2081486</v>
      </c>
      <c r="BL15" s="81">
        <f t="shared" si="33"/>
        <v>2081486</v>
      </c>
      <c r="BM15" s="81">
        <f t="shared" si="33"/>
        <v>2081486</v>
      </c>
      <c r="BN15" s="81">
        <f t="shared" si="33"/>
        <v>2081486</v>
      </c>
      <c r="BO15" s="81">
        <f t="shared" si="33"/>
        <v>2081486</v>
      </c>
      <c r="BP15" s="101">
        <f>SUM(BD15:BO15)</f>
        <v>24977832</v>
      </c>
    </row>
    <row r="16" spans="2:73" x14ac:dyDescent="0.25">
      <c r="B16" s="389" t="s">
        <v>207</v>
      </c>
      <c r="C16" s="83" t="s">
        <v>120</v>
      </c>
      <c r="D16" s="102">
        <v>7850</v>
      </c>
      <c r="E16" s="74">
        <f>+D16+D17</f>
        <v>7900</v>
      </c>
      <c r="F16" s="74">
        <f t="shared" ref="F16:O16" si="34">+E16+E17</f>
        <v>7950</v>
      </c>
      <c r="G16" s="74">
        <f t="shared" si="34"/>
        <v>8000</v>
      </c>
      <c r="H16" s="74">
        <f t="shared" si="34"/>
        <v>8050</v>
      </c>
      <c r="I16" s="74">
        <f t="shared" si="34"/>
        <v>8100</v>
      </c>
      <c r="J16" s="74">
        <f t="shared" si="34"/>
        <v>8150</v>
      </c>
      <c r="K16" s="74">
        <f t="shared" si="34"/>
        <v>8200</v>
      </c>
      <c r="L16" s="74">
        <f t="shared" si="34"/>
        <v>8250</v>
      </c>
      <c r="M16" s="74">
        <f t="shared" si="34"/>
        <v>8300</v>
      </c>
      <c r="N16" s="74">
        <f t="shared" si="34"/>
        <v>8350</v>
      </c>
      <c r="O16" s="74">
        <f t="shared" si="34"/>
        <v>8400</v>
      </c>
      <c r="P16" s="75">
        <f t="shared" ref="P16:P25" si="35">+O16</f>
        <v>8400</v>
      </c>
      <c r="Q16" s="75">
        <f>+O16+O17</f>
        <v>8450</v>
      </c>
      <c r="R16" s="75">
        <f>+Q16+Q17</f>
        <v>8500</v>
      </c>
      <c r="S16" s="75">
        <f t="shared" ref="S16:AB16" si="36">+R16+R17</f>
        <v>8550</v>
      </c>
      <c r="T16" s="75">
        <f t="shared" si="36"/>
        <v>8600</v>
      </c>
      <c r="U16" s="75">
        <f t="shared" si="36"/>
        <v>8650</v>
      </c>
      <c r="V16" s="75">
        <f t="shared" si="36"/>
        <v>8700</v>
      </c>
      <c r="W16" s="75">
        <f t="shared" si="36"/>
        <v>8750</v>
      </c>
      <c r="X16" s="75">
        <f t="shared" si="36"/>
        <v>8800</v>
      </c>
      <c r="Y16" s="75">
        <f t="shared" si="36"/>
        <v>8850</v>
      </c>
      <c r="Z16" s="75">
        <f t="shared" si="36"/>
        <v>8900</v>
      </c>
      <c r="AA16" s="75">
        <f t="shared" si="36"/>
        <v>8950</v>
      </c>
      <c r="AB16" s="75">
        <f t="shared" si="36"/>
        <v>9000</v>
      </c>
      <c r="AC16" s="75">
        <f t="shared" ref="AC16:AC25" si="37">+AB16</f>
        <v>9000</v>
      </c>
      <c r="AD16" s="75">
        <f>+AB16+AB17</f>
        <v>9050</v>
      </c>
      <c r="AE16" s="75">
        <f>+AD16+AD17</f>
        <v>9100</v>
      </c>
      <c r="AF16" s="75">
        <f t="shared" ref="AF16:AO16" si="38">+AE16+AE17</f>
        <v>9150</v>
      </c>
      <c r="AG16" s="75">
        <f t="shared" si="38"/>
        <v>9200</v>
      </c>
      <c r="AH16" s="75">
        <f t="shared" si="38"/>
        <v>9250</v>
      </c>
      <c r="AI16" s="75">
        <f t="shared" si="38"/>
        <v>9300</v>
      </c>
      <c r="AJ16" s="75">
        <f t="shared" si="38"/>
        <v>9350</v>
      </c>
      <c r="AK16" s="75">
        <f t="shared" si="38"/>
        <v>9400</v>
      </c>
      <c r="AL16" s="75">
        <f t="shared" si="38"/>
        <v>9450</v>
      </c>
      <c r="AM16" s="75">
        <f t="shared" si="38"/>
        <v>9500</v>
      </c>
      <c r="AN16" s="75">
        <f t="shared" si="38"/>
        <v>9550</v>
      </c>
      <c r="AO16" s="75">
        <f t="shared" si="38"/>
        <v>9600</v>
      </c>
      <c r="AP16" s="75">
        <f t="shared" ref="AP16:AP25" si="39">+AO16</f>
        <v>9600</v>
      </c>
      <c r="AQ16" s="254">
        <f>+AO16+AO17</f>
        <v>9650</v>
      </c>
      <c r="AR16" s="75">
        <f t="shared" ref="AR16:BB16" si="40">+AQ16+AQ17</f>
        <v>9700</v>
      </c>
      <c r="AS16" s="75">
        <f t="shared" si="40"/>
        <v>9750</v>
      </c>
      <c r="AT16" s="75">
        <f t="shared" si="40"/>
        <v>9800</v>
      </c>
      <c r="AU16" s="75">
        <f t="shared" si="40"/>
        <v>9850</v>
      </c>
      <c r="AV16" s="75">
        <f t="shared" si="40"/>
        <v>9900</v>
      </c>
      <c r="AW16" s="75">
        <f t="shared" si="40"/>
        <v>9950</v>
      </c>
      <c r="AX16" s="75">
        <f t="shared" si="40"/>
        <v>10000</v>
      </c>
      <c r="AY16" s="75">
        <f t="shared" si="40"/>
        <v>10050</v>
      </c>
      <c r="AZ16" s="75">
        <f t="shared" si="40"/>
        <v>10100</v>
      </c>
      <c r="BA16" s="75">
        <f t="shared" si="40"/>
        <v>10150</v>
      </c>
      <c r="BB16" s="75">
        <f t="shared" si="40"/>
        <v>10200</v>
      </c>
      <c r="BC16" s="75">
        <f t="shared" ref="BC16:BC25" si="41">+BB16</f>
        <v>10200</v>
      </c>
      <c r="BD16" s="254">
        <f>+BB16+BB17</f>
        <v>10250</v>
      </c>
      <c r="BE16" s="75">
        <f t="shared" ref="BE16:BO16" si="42">+BD16+BD17</f>
        <v>10300</v>
      </c>
      <c r="BF16" s="75">
        <f t="shared" si="42"/>
        <v>10350</v>
      </c>
      <c r="BG16" s="75">
        <f t="shared" si="42"/>
        <v>10400</v>
      </c>
      <c r="BH16" s="75">
        <f t="shared" si="42"/>
        <v>10450</v>
      </c>
      <c r="BI16" s="75">
        <f t="shared" si="42"/>
        <v>10500</v>
      </c>
      <c r="BJ16" s="75">
        <f t="shared" si="42"/>
        <v>10550</v>
      </c>
      <c r="BK16" s="75">
        <f t="shared" si="42"/>
        <v>10600</v>
      </c>
      <c r="BL16" s="75">
        <f t="shared" si="42"/>
        <v>10650</v>
      </c>
      <c r="BM16" s="75">
        <f t="shared" si="42"/>
        <v>10700</v>
      </c>
      <c r="BN16" s="75">
        <f t="shared" si="42"/>
        <v>10750</v>
      </c>
      <c r="BO16" s="75">
        <f t="shared" si="42"/>
        <v>10800</v>
      </c>
      <c r="BP16" s="82">
        <f t="shared" ref="BP16:BP25" si="43">+BO16</f>
        <v>10800</v>
      </c>
    </row>
    <row r="17" spans="2:68" x14ac:dyDescent="0.25">
      <c r="B17" s="390"/>
      <c r="C17" s="58" t="s">
        <v>106</v>
      </c>
      <c r="D17" s="102">
        <v>50</v>
      </c>
      <c r="E17" s="74">
        <f>+D17</f>
        <v>50</v>
      </c>
      <c r="F17" s="74">
        <f t="shared" ref="F17:O17" si="44">+E17</f>
        <v>50</v>
      </c>
      <c r="G17" s="74">
        <f t="shared" si="44"/>
        <v>50</v>
      </c>
      <c r="H17" s="74">
        <f t="shared" si="44"/>
        <v>50</v>
      </c>
      <c r="I17" s="74">
        <f t="shared" si="44"/>
        <v>50</v>
      </c>
      <c r="J17" s="74">
        <f t="shared" si="44"/>
        <v>50</v>
      </c>
      <c r="K17" s="74">
        <f t="shared" si="44"/>
        <v>50</v>
      </c>
      <c r="L17" s="74">
        <f t="shared" si="44"/>
        <v>50</v>
      </c>
      <c r="M17" s="74">
        <f t="shared" si="44"/>
        <v>50</v>
      </c>
      <c r="N17" s="74">
        <f t="shared" si="44"/>
        <v>50</v>
      </c>
      <c r="O17" s="74">
        <f t="shared" si="44"/>
        <v>50</v>
      </c>
      <c r="P17" s="74">
        <f t="shared" si="35"/>
        <v>50</v>
      </c>
      <c r="Q17" s="74">
        <f>+O17</f>
        <v>50</v>
      </c>
      <c r="R17" s="74">
        <f>+Q17</f>
        <v>50</v>
      </c>
      <c r="S17" s="74">
        <f t="shared" ref="S17:AB23" si="45">+R17</f>
        <v>50</v>
      </c>
      <c r="T17" s="74">
        <f t="shared" si="45"/>
        <v>50</v>
      </c>
      <c r="U17" s="74">
        <f t="shared" si="45"/>
        <v>50</v>
      </c>
      <c r="V17" s="74">
        <f t="shared" si="45"/>
        <v>50</v>
      </c>
      <c r="W17" s="74">
        <f t="shared" si="45"/>
        <v>50</v>
      </c>
      <c r="X17" s="74">
        <f t="shared" si="45"/>
        <v>50</v>
      </c>
      <c r="Y17" s="74">
        <f t="shared" si="45"/>
        <v>50</v>
      </c>
      <c r="Z17" s="74">
        <f t="shared" si="45"/>
        <v>50</v>
      </c>
      <c r="AA17" s="74">
        <f t="shared" si="45"/>
        <v>50</v>
      </c>
      <c r="AB17" s="74">
        <f t="shared" si="45"/>
        <v>50</v>
      </c>
      <c r="AC17" s="74">
        <f t="shared" si="37"/>
        <v>50</v>
      </c>
      <c r="AD17" s="74">
        <f>+AB17</f>
        <v>50</v>
      </c>
      <c r="AE17" s="74">
        <f>+AD17</f>
        <v>50</v>
      </c>
      <c r="AF17" s="74">
        <f t="shared" ref="AF17:AO23" si="46">+AE17</f>
        <v>50</v>
      </c>
      <c r="AG17" s="74">
        <f t="shared" si="46"/>
        <v>50</v>
      </c>
      <c r="AH17" s="74">
        <f t="shared" si="46"/>
        <v>50</v>
      </c>
      <c r="AI17" s="74">
        <f t="shared" si="46"/>
        <v>50</v>
      </c>
      <c r="AJ17" s="74">
        <f t="shared" si="46"/>
        <v>50</v>
      </c>
      <c r="AK17" s="74">
        <f t="shared" si="46"/>
        <v>50</v>
      </c>
      <c r="AL17" s="74">
        <f t="shared" si="46"/>
        <v>50</v>
      </c>
      <c r="AM17" s="74">
        <f t="shared" si="46"/>
        <v>50</v>
      </c>
      <c r="AN17" s="74">
        <f t="shared" si="46"/>
        <v>50</v>
      </c>
      <c r="AO17" s="74">
        <f t="shared" si="46"/>
        <v>50</v>
      </c>
      <c r="AP17" s="74">
        <f t="shared" si="39"/>
        <v>50</v>
      </c>
      <c r="AQ17" s="255">
        <f>+AO17</f>
        <v>50</v>
      </c>
      <c r="AR17" s="74">
        <f t="shared" ref="AR17:BB17" si="47">+AQ17</f>
        <v>50</v>
      </c>
      <c r="AS17" s="74">
        <f t="shared" si="47"/>
        <v>50</v>
      </c>
      <c r="AT17" s="74">
        <f t="shared" si="47"/>
        <v>50</v>
      </c>
      <c r="AU17" s="74">
        <f t="shared" si="47"/>
        <v>50</v>
      </c>
      <c r="AV17" s="74">
        <f t="shared" si="47"/>
        <v>50</v>
      </c>
      <c r="AW17" s="74">
        <f t="shared" si="47"/>
        <v>50</v>
      </c>
      <c r="AX17" s="74">
        <f t="shared" si="47"/>
        <v>50</v>
      </c>
      <c r="AY17" s="74">
        <f t="shared" si="47"/>
        <v>50</v>
      </c>
      <c r="AZ17" s="74">
        <f t="shared" si="47"/>
        <v>50</v>
      </c>
      <c r="BA17" s="74">
        <f t="shared" si="47"/>
        <v>50</v>
      </c>
      <c r="BB17" s="74">
        <f t="shared" si="47"/>
        <v>50</v>
      </c>
      <c r="BC17" s="74">
        <f t="shared" si="41"/>
        <v>50</v>
      </c>
      <c r="BD17" s="255">
        <f>+BB17</f>
        <v>50</v>
      </c>
      <c r="BE17" s="74">
        <f t="shared" ref="BE17:BO17" si="48">+BD17</f>
        <v>50</v>
      </c>
      <c r="BF17" s="74">
        <f t="shared" si="48"/>
        <v>50</v>
      </c>
      <c r="BG17" s="74">
        <f t="shared" si="48"/>
        <v>50</v>
      </c>
      <c r="BH17" s="74">
        <f t="shared" si="48"/>
        <v>50</v>
      </c>
      <c r="BI17" s="74">
        <f t="shared" si="48"/>
        <v>50</v>
      </c>
      <c r="BJ17" s="74">
        <f t="shared" si="48"/>
        <v>50</v>
      </c>
      <c r="BK17" s="74">
        <f t="shared" si="48"/>
        <v>50</v>
      </c>
      <c r="BL17" s="74">
        <f t="shared" si="48"/>
        <v>50</v>
      </c>
      <c r="BM17" s="74">
        <f t="shared" si="48"/>
        <v>50</v>
      </c>
      <c r="BN17" s="74">
        <f t="shared" si="48"/>
        <v>50</v>
      </c>
      <c r="BO17" s="74">
        <f t="shared" si="48"/>
        <v>50</v>
      </c>
      <c r="BP17" s="76">
        <f t="shared" si="43"/>
        <v>50</v>
      </c>
    </row>
    <row r="18" spans="2:68" x14ac:dyDescent="0.25">
      <c r="B18" s="390"/>
      <c r="C18" s="83" t="s">
        <v>107</v>
      </c>
      <c r="D18" s="74">
        <v>20</v>
      </c>
      <c r="E18" s="74">
        <f>+D18</f>
        <v>20</v>
      </c>
      <c r="F18" s="74">
        <f t="shared" ref="F18:O23" si="49">+E18</f>
        <v>20</v>
      </c>
      <c r="G18" s="74">
        <f t="shared" si="49"/>
        <v>20</v>
      </c>
      <c r="H18" s="74">
        <f t="shared" si="49"/>
        <v>20</v>
      </c>
      <c r="I18" s="74">
        <f t="shared" si="49"/>
        <v>20</v>
      </c>
      <c r="J18" s="74">
        <f t="shared" si="49"/>
        <v>20</v>
      </c>
      <c r="K18" s="74">
        <f t="shared" si="49"/>
        <v>20</v>
      </c>
      <c r="L18" s="74">
        <f t="shared" si="49"/>
        <v>20</v>
      </c>
      <c r="M18" s="74">
        <f t="shared" si="49"/>
        <v>20</v>
      </c>
      <c r="N18" s="74">
        <f t="shared" si="49"/>
        <v>20</v>
      </c>
      <c r="O18" s="74">
        <f t="shared" si="49"/>
        <v>20</v>
      </c>
      <c r="P18" s="74">
        <f t="shared" si="35"/>
        <v>20</v>
      </c>
      <c r="Q18" s="74">
        <f>+O18</f>
        <v>20</v>
      </c>
      <c r="R18" s="74">
        <f>+Q18</f>
        <v>20</v>
      </c>
      <c r="S18" s="74">
        <f t="shared" si="45"/>
        <v>20</v>
      </c>
      <c r="T18" s="74">
        <f t="shared" si="45"/>
        <v>20</v>
      </c>
      <c r="U18" s="74">
        <f t="shared" si="45"/>
        <v>20</v>
      </c>
      <c r="V18" s="74">
        <f t="shared" si="45"/>
        <v>20</v>
      </c>
      <c r="W18" s="74">
        <f t="shared" si="45"/>
        <v>20</v>
      </c>
      <c r="X18" s="74">
        <f t="shared" si="45"/>
        <v>20</v>
      </c>
      <c r="Y18" s="74">
        <f t="shared" si="45"/>
        <v>20</v>
      </c>
      <c r="Z18" s="74">
        <f t="shared" si="45"/>
        <v>20</v>
      </c>
      <c r="AA18" s="74">
        <f t="shared" si="45"/>
        <v>20</v>
      </c>
      <c r="AB18" s="74">
        <f t="shared" si="45"/>
        <v>20</v>
      </c>
      <c r="AC18" s="74">
        <f t="shared" si="37"/>
        <v>20</v>
      </c>
      <c r="AD18" s="74">
        <f>+AB18</f>
        <v>20</v>
      </c>
      <c r="AE18" s="74">
        <f>+AD18</f>
        <v>20</v>
      </c>
      <c r="AF18" s="74">
        <f t="shared" si="46"/>
        <v>20</v>
      </c>
      <c r="AG18" s="74">
        <f t="shared" si="46"/>
        <v>20</v>
      </c>
      <c r="AH18" s="74">
        <f t="shared" si="46"/>
        <v>20</v>
      </c>
      <c r="AI18" s="74">
        <f t="shared" si="46"/>
        <v>20</v>
      </c>
      <c r="AJ18" s="74">
        <f t="shared" si="46"/>
        <v>20</v>
      </c>
      <c r="AK18" s="74">
        <f t="shared" si="46"/>
        <v>20</v>
      </c>
      <c r="AL18" s="74">
        <f t="shared" si="46"/>
        <v>20</v>
      </c>
      <c r="AM18" s="74">
        <f t="shared" si="46"/>
        <v>20</v>
      </c>
      <c r="AN18" s="74">
        <f t="shared" si="46"/>
        <v>20</v>
      </c>
      <c r="AO18" s="74">
        <f t="shared" si="46"/>
        <v>20</v>
      </c>
      <c r="AP18" s="74">
        <f t="shared" si="39"/>
        <v>20</v>
      </c>
      <c r="AQ18" s="255">
        <f>+AO18</f>
        <v>20</v>
      </c>
      <c r="AR18" s="74">
        <f t="shared" ref="AR18:BB18" si="50">+AQ18</f>
        <v>20</v>
      </c>
      <c r="AS18" s="74">
        <f t="shared" si="50"/>
        <v>20</v>
      </c>
      <c r="AT18" s="74">
        <f t="shared" si="50"/>
        <v>20</v>
      </c>
      <c r="AU18" s="74">
        <f t="shared" si="50"/>
        <v>20</v>
      </c>
      <c r="AV18" s="74">
        <f t="shared" si="50"/>
        <v>20</v>
      </c>
      <c r="AW18" s="74">
        <f t="shared" si="50"/>
        <v>20</v>
      </c>
      <c r="AX18" s="74">
        <f t="shared" si="50"/>
        <v>20</v>
      </c>
      <c r="AY18" s="74">
        <f t="shared" si="50"/>
        <v>20</v>
      </c>
      <c r="AZ18" s="74">
        <f t="shared" si="50"/>
        <v>20</v>
      </c>
      <c r="BA18" s="74">
        <f t="shared" si="50"/>
        <v>20</v>
      </c>
      <c r="BB18" s="74">
        <f t="shared" si="50"/>
        <v>20</v>
      </c>
      <c r="BC18" s="74">
        <f t="shared" si="41"/>
        <v>20</v>
      </c>
      <c r="BD18" s="255">
        <f>+BB18</f>
        <v>20</v>
      </c>
      <c r="BE18" s="74">
        <f t="shared" ref="BE18:BO18" si="51">+BD18</f>
        <v>20</v>
      </c>
      <c r="BF18" s="74">
        <f t="shared" si="51"/>
        <v>20</v>
      </c>
      <c r="BG18" s="74">
        <f t="shared" si="51"/>
        <v>20</v>
      </c>
      <c r="BH18" s="74">
        <f t="shared" si="51"/>
        <v>20</v>
      </c>
      <c r="BI18" s="74">
        <f t="shared" si="51"/>
        <v>20</v>
      </c>
      <c r="BJ18" s="74">
        <f t="shared" si="51"/>
        <v>20</v>
      </c>
      <c r="BK18" s="74">
        <f t="shared" si="51"/>
        <v>20</v>
      </c>
      <c r="BL18" s="74">
        <f t="shared" si="51"/>
        <v>20</v>
      </c>
      <c r="BM18" s="74">
        <f t="shared" si="51"/>
        <v>20</v>
      </c>
      <c r="BN18" s="74">
        <f t="shared" si="51"/>
        <v>20</v>
      </c>
      <c r="BO18" s="74">
        <f t="shared" si="51"/>
        <v>20</v>
      </c>
      <c r="BP18" s="76">
        <f t="shared" si="43"/>
        <v>20</v>
      </c>
    </row>
    <row r="19" spans="2:68" x14ac:dyDescent="0.25">
      <c r="B19" s="390"/>
      <c r="C19" s="83" t="s">
        <v>114</v>
      </c>
      <c r="D19" s="74">
        <f>+D16*D18</f>
        <v>157000</v>
      </c>
      <c r="E19" s="74">
        <f t="shared" ref="E19:O19" si="52">+E16*E18</f>
        <v>158000</v>
      </c>
      <c r="F19" s="74">
        <f t="shared" si="52"/>
        <v>159000</v>
      </c>
      <c r="G19" s="74">
        <f t="shared" si="52"/>
        <v>160000</v>
      </c>
      <c r="H19" s="74">
        <f t="shared" si="52"/>
        <v>161000</v>
      </c>
      <c r="I19" s="74">
        <f t="shared" si="52"/>
        <v>162000</v>
      </c>
      <c r="J19" s="74">
        <f t="shared" si="52"/>
        <v>163000</v>
      </c>
      <c r="K19" s="74">
        <f t="shared" si="52"/>
        <v>164000</v>
      </c>
      <c r="L19" s="74">
        <f t="shared" si="52"/>
        <v>165000</v>
      </c>
      <c r="M19" s="74">
        <f t="shared" si="52"/>
        <v>166000</v>
      </c>
      <c r="N19" s="74">
        <f t="shared" si="52"/>
        <v>167000</v>
      </c>
      <c r="O19" s="74">
        <f t="shared" si="52"/>
        <v>168000</v>
      </c>
      <c r="P19" s="74">
        <f t="shared" si="35"/>
        <v>168000</v>
      </c>
      <c r="Q19" s="74">
        <f t="shared" ref="Q19:AB19" si="53">+Q16*Q18</f>
        <v>169000</v>
      </c>
      <c r="R19" s="74">
        <f t="shared" si="53"/>
        <v>170000</v>
      </c>
      <c r="S19" s="74">
        <f t="shared" si="53"/>
        <v>171000</v>
      </c>
      <c r="T19" s="74">
        <f t="shared" si="53"/>
        <v>172000</v>
      </c>
      <c r="U19" s="74">
        <f t="shared" si="53"/>
        <v>173000</v>
      </c>
      <c r="V19" s="74">
        <f t="shared" si="53"/>
        <v>174000</v>
      </c>
      <c r="W19" s="74">
        <f t="shared" si="53"/>
        <v>175000</v>
      </c>
      <c r="X19" s="74">
        <f t="shared" si="53"/>
        <v>176000</v>
      </c>
      <c r="Y19" s="74">
        <f t="shared" si="53"/>
        <v>177000</v>
      </c>
      <c r="Z19" s="74">
        <f t="shared" si="53"/>
        <v>178000</v>
      </c>
      <c r="AA19" s="74">
        <f t="shared" si="53"/>
        <v>179000</v>
      </c>
      <c r="AB19" s="74">
        <f t="shared" si="53"/>
        <v>180000</v>
      </c>
      <c r="AC19" s="74">
        <f t="shared" si="37"/>
        <v>180000</v>
      </c>
      <c r="AD19" s="74">
        <f t="shared" ref="AD19:AO19" si="54">+AD16*AD18</f>
        <v>181000</v>
      </c>
      <c r="AE19" s="74">
        <f t="shared" si="54"/>
        <v>182000</v>
      </c>
      <c r="AF19" s="74">
        <f t="shared" si="54"/>
        <v>183000</v>
      </c>
      <c r="AG19" s="74">
        <f t="shared" si="54"/>
        <v>184000</v>
      </c>
      <c r="AH19" s="74">
        <f t="shared" si="54"/>
        <v>185000</v>
      </c>
      <c r="AI19" s="74">
        <f t="shared" si="54"/>
        <v>186000</v>
      </c>
      <c r="AJ19" s="74">
        <f t="shared" si="54"/>
        <v>187000</v>
      </c>
      <c r="AK19" s="74">
        <f t="shared" si="54"/>
        <v>188000</v>
      </c>
      <c r="AL19" s="74">
        <f t="shared" si="54"/>
        <v>189000</v>
      </c>
      <c r="AM19" s="74">
        <f t="shared" si="54"/>
        <v>190000</v>
      </c>
      <c r="AN19" s="74">
        <f t="shared" si="54"/>
        <v>191000</v>
      </c>
      <c r="AO19" s="74">
        <f t="shared" si="54"/>
        <v>192000</v>
      </c>
      <c r="AP19" s="74">
        <f t="shared" si="39"/>
        <v>192000</v>
      </c>
      <c r="AQ19" s="255">
        <f t="shared" ref="AQ19:BB19" si="55">+AQ16*AQ18</f>
        <v>193000</v>
      </c>
      <c r="AR19" s="74">
        <f t="shared" si="55"/>
        <v>194000</v>
      </c>
      <c r="AS19" s="74">
        <f t="shared" si="55"/>
        <v>195000</v>
      </c>
      <c r="AT19" s="74">
        <f t="shared" si="55"/>
        <v>196000</v>
      </c>
      <c r="AU19" s="74">
        <f t="shared" si="55"/>
        <v>197000</v>
      </c>
      <c r="AV19" s="74">
        <f t="shared" si="55"/>
        <v>198000</v>
      </c>
      <c r="AW19" s="74">
        <f t="shared" si="55"/>
        <v>199000</v>
      </c>
      <c r="AX19" s="74">
        <f t="shared" si="55"/>
        <v>200000</v>
      </c>
      <c r="AY19" s="74">
        <f t="shared" si="55"/>
        <v>201000</v>
      </c>
      <c r="AZ19" s="74">
        <f t="shared" si="55"/>
        <v>202000</v>
      </c>
      <c r="BA19" s="74">
        <f t="shared" si="55"/>
        <v>203000</v>
      </c>
      <c r="BB19" s="74">
        <f t="shared" si="55"/>
        <v>204000</v>
      </c>
      <c r="BC19" s="74">
        <f t="shared" si="41"/>
        <v>204000</v>
      </c>
      <c r="BD19" s="255">
        <f t="shared" ref="BD19:BO19" si="56">+BD16*BD18</f>
        <v>205000</v>
      </c>
      <c r="BE19" s="74">
        <f t="shared" si="56"/>
        <v>206000</v>
      </c>
      <c r="BF19" s="74">
        <f t="shared" si="56"/>
        <v>207000</v>
      </c>
      <c r="BG19" s="74">
        <f t="shared" si="56"/>
        <v>208000</v>
      </c>
      <c r="BH19" s="74">
        <f t="shared" si="56"/>
        <v>209000</v>
      </c>
      <c r="BI19" s="74">
        <f t="shared" si="56"/>
        <v>210000</v>
      </c>
      <c r="BJ19" s="74">
        <f t="shared" si="56"/>
        <v>211000</v>
      </c>
      <c r="BK19" s="74">
        <f t="shared" si="56"/>
        <v>212000</v>
      </c>
      <c r="BL19" s="74">
        <f t="shared" si="56"/>
        <v>213000</v>
      </c>
      <c r="BM19" s="74">
        <f t="shared" si="56"/>
        <v>214000</v>
      </c>
      <c r="BN19" s="74">
        <f t="shared" si="56"/>
        <v>215000</v>
      </c>
      <c r="BO19" s="74">
        <f t="shared" si="56"/>
        <v>216000</v>
      </c>
      <c r="BP19" s="76">
        <f t="shared" si="43"/>
        <v>216000</v>
      </c>
    </row>
    <row r="20" spans="2:68" x14ac:dyDescent="0.25">
      <c r="B20" s="390"/>
      <c r="C20" s="58" t="s">
        <v>108</v>
      </c>
      <c r="D20" s="102">
        <v>28</v>
      </c>
      <c r="E20" s="74">
        <f>+D20</f>
        <v>28</v>
      </c>
      <c r="F20" s="74">
        <f t="shared" si="49"/>
        <v>28</v>
      </c>
      <c r="G20" s="74">
        <f t="shared" si="49"/>
        <v>28</v>
      </c>
      <c r="H20" s="74">
        <f t="shared" si="49"/>
        <v>28</v>
      </c>
      <c r="I20" s="74">
        <f t="shared" si="49"/>
        <v>28</v>
      </c>
      <c r="J20" s="74">
        <f t="shared" si="49"/>
        <v>28</v>
      </c>
      <c r="K20" s="74">
        <f t="shared" si="49"/>
        <v>28</v>
      </c>
      <c r="L20" s="74">
        <f t="shared" si="49"/>
        <v>28</v>
      </c>
      <c r="M20" s="74">
        <f t="shared" si="49"/>
        <v>28</v>
      </c>
      <c r="N20" s="74">
        <f t="shared" si="49"/>
        <v>28</v>
      </c>
      <c r="O20" s="74">
        <f t="shared" si="49"/>
        <v>28</v>
      </c>
      <c r="P20" s="74">
        <f t="shared" si="35"/>
        <v>28</v>
      </c>
      <c r="Q20" s="74">
        <f>+O20</f>
        <v>28</v>
      </c>
      <c r="R20" s="74">
        <f>+Q20</f>
        <v>28</v>
      </c>
      <c r="S20" s="74">
        <f t="shared" si="45"/>
        <v>28</v>
      </c>
      <c r="T20" s="74">
        <f t="shared" si="45"/>
        <v>28</v>
      </c>
      <c r="U20" s="74">
        <f t="shared" si="45"/>
        <v>28</v>
      </c>
      <c r="V20" s="74">
        <f t="shared" si="45"/>
        <v>28</v>
      </c>
      <c r="W20" s="74">
        <f t="shared" si="45"/>
        <v>28</v>
      </c>
      <c r="X20" s="74">
        <f t="shared" si="45"/>
        <v>28</v>
      </c>
      <c r="Y20" s="74">
        <f t="shared" si="45"/>
        <v>28</v>
      </c>
      <c r="Z20" s="74">
        <f t="shared" si="45"/>
        <v>28</v>
      </c>
      <c r="AA20" s="74">
        <f t="shared" si="45"/>
        <v>28</v>
      </c>
      <c r="AB20" s="74">
        <f t="shared" si="45"/>
        <v>28</v>
      </c>
      <c r="AC20" s="74">
        <f t="shared" si="37"/>
        <v>28</v>
      </c>
      <c r="AD20" s="74">
        <f>+AB20</f>
        <v>28</v>
      </c>
      <c r="AE20" s="74">
        <f>+AD20</f>
        <v>28</v>
      </c>
      <c r="AF20" s="74">
        <f t="shared" si="46"/>
        <v>28</v>
      </c>
      <c r="AG20" s="74">
        <f t="shared" si="46"/>
        <v>28</v>
      </c>
      <c r="AH20" s="74">
        <f t="shared" si="46"/>
        <v>28</v>
      </c>
      <c r="AI20" s="74">
        <f t="shared" si="46"/>
        <v>28</v>
      </c>
      <c r="AJ20" s="74">
        <f t="shared" si="46"/>
        <v>28</v>
      </c>
      <c r="AK20" s="74">
        <f t="shared" si="46"/>
        <v>28</v>
      </c>
      <c r="AL20" s="74">
        <f t="shared" si="46"/>
        <v>28</v>
      </c>
      <c r="AM20" s="74">
        <f t="shared" si="46"/>
        <v>28</v>
      </c>
      <c r="AN20" s="74">
        <f t="shared" si="46"/>
        <v>28</v>
      </c>
      <c r="AO20" s="74">
        <f t="shared" si="46"/>
        <v>28</v>
      </c>
      <c r="AP20" s="74">
        <f t="shared" si="39"/>
        <v>28</v>
      </c>
      <c r="AQ20" s="255">
        <f>+AO20</f>
        <v>28</v>
      </c>
      <c r="AR20" s="74">
        <f t="shared" ref="AR20:BB20" si="57">+AQ20</f>
        <v>28</v>
      </c>
      <c r="AS20" s="74">
        <f t="shared" si="57"/>
        <v>28</v>
      </c>
      <c r="AT20" s="74">
        <f t="shared" si="57"/>
        <v>28</v>
      </c>
      <c r="AU20" s="74">
        <f t="shared" si="57"/>
        <v>28</v>
      </c>
      <c r="AV20" s="74">
        <f t="shared" si="57"/>
        <v>28</v>
      </c>
      <c r="AW20" s="74">
        <f t="shared" si="57"/>
        <v>28</v>
      </c>
      <c r="AX20" s="74">
        <f t="shared" si="57"/>
        <v>28</v>
      </c>
      <c r="AY20" s="74">
        <f t="shared" si="57"/>
        <v>28</v>
      </c>
      <c r="AZ20" s="74">
        <f t="shared" si="57"/>
        <v>28</v>
      </c>
      <c r="BA20" s="74">
        <f t="shared" si="57"/>
        <v>28</v>
      </c>
      <c r="BB20" s="74">
        <f t="shared" si="57"/>
        <v>28</v>
      </c>
      <c r="BC20" s="74">
        <f t="shared" si="41"/>
        <v>28</v>
      </c>
      <c r="BD20" s="255">
        <f>+BB20</f>
        <v>28</v>
      </c>
      <c r="BE20" s="74">
        <f t="shared" ref="BE20:BO20" si="58">+BD20</f>
        <v>28</v>
      </c>
      <c r="BF20" s="74">
        <f t="shared" si="58"/>
        <v>28</v>
      </c>
      <c r="BG20" s="74">
        <f t="shared" si="58"/>
        <v>28</v>
      </c>
      <c r="BH20" s="74">
        <f t="shared" si="58"/>
        <v>28</v>
      </c>
      <c r="BI20" s="74">
        <f t="shared" si="58"/>
        <v>28</v>
      </c>
      <c r="BJ20" s="74">
        <f t="shared" si="58"/>
        <v>28</v>
      </c>
      <c r="BK20" s="74">
        <f t="shared" si="58"/>
        <v>28</v>
      </c>
      <c r="BL20" s="74">
        <f t="shared" si="58"/>
        <v>28</v>
      </c>
      <c r="BM20" s="74">
        <f t="shared" si="58"/>
        <v>28</v>
      </c>
      <c r="BN20" s="74">
        <f t="shared" si="58"/>
        <v>28</v>
      </c>
      <c r="BO20" s="74">
        <f t="shared" si="58"/>
        <v>28</v>
      </c>
      <c r="BP20" s="76">
        <f t="shared" si="43"/>
        <v>28</v>
      </c>
    </row>
    <row r="21" spans="2:68" x14ac:dyDescent="0.25">
      <c r="B21" s="390"/>
      <c r="C21" s="83" t="s">
        <v>109</v>
      </c>
      <c r="D21" s="74">
        <f>+D18*D20</f>
        <v>560</v>
      </c>
      <c r="E21" s="74">
        <f t="shared" ref="E21:O21" si="59">+E18*E20</f>
        <v>560</v>
      </c>
      <c r="F21" s="74">
        <f t="shared" si="59"/>
        <v>560</v>
      </c>
      <c r="G21" s="74">
        <f t="shared" si="59"/>
        <v>560</v>
      </c>
      <c r="H21" s="74">
        <f t="shared" si="59"/>
        <v>560</v>
      </c>
      <c r="I21" s="74">
        <f t="shared" si="59"/>
        <v>560</v>
      </c>
      <c r="J21" s="74">
        <f t="shared" si="59"/>
        <v>560</v>
      </c>
      <c r="K21" s="74">
        <f t="shared" si="59"/>
        <v>560</v>
      </c>
      <c r="L21" s="74">
        <f t="shared" si="59"/>
        <v>560</v>
      </c>
      <c r="M21" s="74">
        <f t="shared" si="59"/>
        <v>560</v>
      </c>
      <c r="N21" s="74">
        <f t="shared" si="59"/>
        <v>560</v>
      </c>
      <c r="O21" s="74">
        <f t="shared" si="59"/>
        <v>560</v>
      </c>
      <c r="P21" s="74">
        <f t="shared" si="35"/>
        <v>560</v>
      </c>
      <c r="Q21" s="74">
        <f t="shared" ref="Q21:AB21" si="60">+Q18*Q20</f>
        <v>560</v>
      </c>
      <c r="R21" s="74">
        <f t="shared" si="60"/>
        <v>560</v>
      </c>
      <c r="S21" s="74">
        <f t="shared" si="60"/>
        <v>560</v>
      </c>
      <c r="T21" s="74">
        <f t="shared" si="60"/>
        <v>560</v>
      </c>
      <c r="U21" s="74">
        <f t="shared" si="60"/>
        <v>560</v>
      </c>
      <c r="V21" s="74">
        <f t="shared" si="60"/>
        <v>560</v>
      </c>
      <c r="W21" s="74">
        <f t="shared" si="60"/>
        <v>560</v>
      </c>
      <c r="X21" s="74">
        <f t="shared" si="60"/>
        <v>560</v>
      </c>
      <c r="Y21" s="74">
        <f t="shared" si="60"/>
        <v>560</v>
      </c>
      <c r="Z21" s="74">
        <f t="shared" si="60"/>
        <v>560</v>
      </c>
      <c r="AA21" s="74">
        <f t="shared" si="60"/>
        <v>560</v>
      </c>
      <c r="AB21" s="74">
        <f t="shared" si="60"/>
        <v>560</v>
      </c>
      <c r="AC21" s="74">
        <f t="shared" si="37"/>
        <v>560</v>
      </c>
      <c r="AD21" s="74">
        <f t="shared" ref="AD21:AO21" si="61">+AD18*AD20</f>
        <v>560</v>
      </c>
      <c r="AE21" s="74">
        <f t="shared" si="61"/>
        <v>560</v>
      </c>
      <c r="AF21" s="74">
        <f t="shared" si="61"/>
        <v>560</v>
      </c>
      <c r="AG21" s="74">
        <f t="shared" si="61"/>
        <v>560</v>
      </c>
      <c r="AH21" s="74">
        <f t="shared" si="61"/>
        <v>560</v>
      </c>
      <c r="AI21" s="74">
        <f t="shared" si="61"/>
        <v>560</v>
      </c>
      <c r="AJ21" s="74">
        <f t="shared" si="61"/>
        <v>560</v>
      </c>
      <c r="AK21" s="74">
        <f t="shared" si="61"/>
        <v>560</v>
      </c>
      <c r="AL21" s="74">
        <f t="shared" si="61"/>
        <v>560</v>
      </c>
      <c r="AM21" s="74">
        <f t="shared" si="61"/>
        <v>560</v>
      </c>
      <c r="AN21" s="74">
        <f t="shared" si="61"/>
        <v>560</v>
      </c>
      <c r="AO21" s="74">
        <f t="shared" si="61"/>
        <v>560</v>
      </c>
      <c r="AP21" s="74">
        <f t="shared" si="39"/>
        <v>560</v>
      </c>
      <c r="AQ21" s="255">
        <f t="shared" ref="AQ21:BB21" si="62">+AQ18*AQ20</f>
        <v>560</v>
      </c>
      <c r="AR21" s="74">
        <f t="shared" si="62"/>
        <v>560</v>
      </c>
      <c r="AS21" s="74">
        <f t="shared" si="62"/>
        <v>560</v>
      </c>
      <c r="AT21" s="74">
        <f t="shared" si="62"/>
        <v>560</v>
      </c>
      <c r="AU21" s="74">
        <f t="shared" si="62"/>
        <v>560</v>
      </c>
      <c r="AV21" s="74">
        <f t="shared" si="62"/>
        <v>560</v>
      </c>
      <c r="AW21" s="74">
        <f t="shared" si="62"/>
        <v>560</v>
      </c>
      <c r="AX21" s="74">
        <f t="shared" si="62"/>
        <v>560</v>
      </c>
      <c r="AY21" s="74">
        <f t="shared" si="62"/>
        <v>560</v>
      </c>
      <c r="AZ21" s="74">
        <f t="shared" si="62"/>
        <v>560</v>
      </c>
      <c r="BA21" s="74">
        <f t="shared" si="62"/>
        <v>560</v>
      </c>
      <c r="BB21" s="74">
        <f t="shared" si="62"/>
        <v>560</v>
      </c>
      <c r="BC21" s="74">
        <f t="shared" si="41"/>
        <v>560</v>
      </c>
      <c r="BD21" s="255">
        <f t="shared" ref="BD21:BO21" si="63">+BD18*BD20</f>
        <v>560</v>
      </c>
      <c r="BE21" s="74">
        <f t="shared" si="63"/>
        <v>560</v>
      </c>
      <c r="BF21" s="74">
        <f t="shared" si="63"/>
        <v>560</v>
      </c>
      <c r="BG21" s="74">
        <f t="shared" si="63"/>
        <v>560</v>
      </c>
      <c r="BH21" s="74">
        <f t="shared" si="63"/>
        <v>560</v>
      </c>
      <c r="BI21" s="74">
        <f t="shared" si="63"/>
        <v>560</v>
      </c>
      <c r="BJ21" s="74">
        <f t="shared" si="63"/>
        <v>560</v>
      </c>
      <c r="BK21" s="74">
        <f t="shared" si="63"/>
        <v>560</v>
      </c>
      <c r="BL21" s="74">
        <f t="shared" si="63"/>
        <v>560</v>
      </c>
      <c r="BM21" s="74">
        <f t="shared" si="63"/>
        <v>560</v>
      </c>
      <c r="BN21" s="74">
        <f t="shared" si="63"/>
        <v>560</v>
      </c>
      <c r="BO21" s="74">
        <f t="shared" si="63"/>
        <v>560</v>
      </c>
      <c r="BP21" s="76">
        <f t="shared" si="43"/>
        <v>560</v>
      </c>
    </row>
    <row r="22" spans="2:68" x14ac:dyDescent="0.25">
      <c r="B22" s="390"/>
      <c r="C22" s="58" t="s">
        <v>110</v>
      </c>
      <c r="D22" s="74">
        <f>+'INGRESOS '!G13</f>
        <v>320</v>
      </c>
      <c r="E22" s="74">
        <f>+'INGRESOS '!H13</f>
        <v>320</v>
      </c>
      <c r="F22" s="74">
        <f>+'INGRESOS '!I13</f>
        <v>320</v>
      </c>
      <c r="G22" s="74">
        <f>+'INGRESOS '!J13</f>
        <v>320</v>
      </c>
      <c r="H22" s="74">
        <f>+'INGRESOS '!K13</f>
        <v>320</v>
      </c>
      <c r="I22" s="74">
        <f>+'INGRESOS '!L13</f>
        <v>320</v>
      </c>
      <c r="J22" s="74">
        <f>+'INGRESOS '!M13</f>
        <v>640</v>
      </c>
      <c r="K22" s="74">
        <f>+'INGRESOS '!N13</f>
        <v>640</v>
      </c>
      <c r="L22" s="74">
        <f>+'INGRESOS '!O13</f>
        <v>640</v>
      </c>
      <c r="M22" s="74">
        <f>+'INGRESOS '!P13</f>
        <v>640</v>
      </c>
      <c r="N22" s="74">
        <f>+'INGRESOS '!Q13</f>
        <v>640</v>
      </c>
      <c r="O22" s="74">
        <f>+'INGRESOS '!R13</f>
        <v>640</v>
      </c>
      <c r="P22" s="74">
        <f t="shared" si="35"/>
        <v>640</v>
      </c>
      <c r="Q22" s="74">
        <f>+'INGRESOS '!T13</f>
        <v>640</v>
      </c>
      <c r="R22" s="74">
        <f>+'INGRESOS '!U13</f>
        <v>640</v>
      </c>
      <c r="S22" s="74">
        <f>+'INGRESOS '!V13</f>
        <v>640</v>
      </c>
      <c r="T22" s="74">
        <f>+'INGRESOS '!W13</f>
        <v>640</v>
      </c>
      <c r="U22" s="74">
        <f>+'INGRESOS '!X13</f>
        <v>640</v>
      </c>
      <c r="V22" s="74">
        <f>+'INGRESOS '!Y13</f>
        <v>640</v>
      </c>
      <c r="W22" s="74">
        <f>+'INGRESOS '!Z13</f>
        <v>960</v>
      </c>
      <c r="X22" s="74">
        <f>+'INGRESOS '!AA13</f>
        <v>960</v>
      </c>
      <c r="Y22" s="74">
        <f>+'INGRESOS '!AB13</f>
        <v>960</v>
      </c>
      <c r="Z22" s="74">
        <f>+'INGRESOS '!AC13</f>
        <v>960</v>
      </c>
      <c r="AA22" s="74">
        <f>+'INGRESOS '!AD13</f>
        <v>960</v>
      </c>
      <c r="AB22" s="74">
        <f>+'INGRESOS '!AE13</f>
        <v>960</v>
      </c>
      <c r="AC22" s="74">
        <f t="shared" si="37"/>
        <v>960</v>
      </c>
      <c r="AD22" s="74">
        <f>+'INGRESOS '!AG13</f>
        <v>960</v>
      </c>
      <c r="AE22" s="74">
        <f>+'INGRESOS '!AH13</f>
        <v>960</v>
      </c>
      <c r="AF22" s="74">
        <f>+'INGRESOS '!AI13</f>
        <v>960</v>
      </c>
      <c r="AG22" s="74">
        <f>+'INGRESOS '!AJ13</f>
        <v>960</v>
      </c>
      <c r="AH22" s="74">
        <f>+'INGRESOS '!AK13</f>
        <v>960</v>
      </c>
      <c r="AI22" s="74">
        <f>+'INGRESOS '!AL13</f>
        <v>960</v>
      </c>
      <c r="AJ22" s="74">
        <f>+'INGRESOS '!AM13</f>
        <v>960</v>
      </c>
      <c r="AK22" s="74">
        <f>+'INGRESOS '!AN13</f>
        <v>960</v>
      </c>
      <c r="AL22" s="74">
        <f>+'INGRESOS '!AO13</f>
        <v>960</v>
      </c>
      <c r="AM22" s="74">
        <f>+'INGRESOS '!AP13</f>
        <v>960</v>
      </c>
      <c r="AN22" s="74">
        <f>+'INGRESOS '!AQ13</f>
        <v>960</v>
      </c>
      <c r="AO22" s="74">
        <f>+'INGRESOS '!AR13</f>
        <v>960</v>
      </c>
      <c r="AP22" s="74">
        <f t="shared" si="39"/>
        <v>960</v>
      </c>
      <c r="AQ22" s="255">
        <f>+'INGRESOS '!AT13</f>
        <v>960</v>
      </c>
      <c r="AR22" s="74">
        <f>+'INGRESOS '!AU13</f>
        <v>960</v>
      </c>
      <c r="AS22" s="74">
        <f>+'INGRESOS '!AV13</f>
        <v>960</v>
      </c>
      <c r="AT22" s="74">
        <f>+'INGRESOS '!AW13</f>
        <v>960</v>
      </c>
      <c r="AU22" s="74">
        <f>+'INGRESOS '!AX13</f>
        <v>960</v>
      </c>
      <c r="AV22" s="74">
        <f>+'INGRESOS '!AY13</f>
        <v>960</v>
      </c>
      <c r="AW22" s="74">
        <f>+'INGRESOS '!AZ13</f>
        <v>960</v>
      </c>
      <c r="AX22" s="74">
        <f>+'INGRESOS '!BA13</f>
        <v>960</v>
      </c>
      <c r="AY22" s="74">
        <f>+'INGRESOS '!BB13</f>
        <v>960</v>
      </c>
      <c r="AZ22" s="74">
        <f>+'INGRESOS '!BC13</f>
        <v>960</v>
      </c>
      <c r="BA22" s="74">
        <f>+'INGRESOS '!BD13</f>
        <v>960</v>
      </c>
      <c r="BB22" s="74">
        <f>+'INGRESOS '!BE13</f>
        <v>960</v>
      </c>
      <c r="BC22" s="74">
        <f t="shared" si="41"/>
        <v>960</v>
      </c>
      <c r="BD22" s="255">
        <f>+'INGRESOS '!BG13</f>
        <v>960</v>
      </c>
      <c r="BE22" s="74">
        <f>+'INGRESOS '!BH13</f>
        <v>960</v>
      </c>
      <c r="BF22" s="74">
        <f>+'INGRESOS '!BI13</f>
        <v>960</v>
      </c>
      <c r="BG22" s="74">
        <f>+'INGRESOS '!BJ13</f>
        <v>960</v>
      </c>
      <c r="BH22" s="74">
        <f>+'INGRESOS '!BK13</f>
        <v>960</v>
      </c>
      <c r="BI22" s="74">
        <f>+'INGRESOS '!BL13</f>
        <v>960</v>
      </c>
      <c r="BJ22" s="74">
        <f>+'INGRESOS '!BM13</f>
        <v>960</v>
      </c>
      <c r="BK22" s="74">
        <f>+'INGRESOS '!BN13</f>
        <v>960</v>
      </c>
      <c r="BL22" s="74">
        <f>+'INGRESOS '!BO13</f>
        <v>960</v>
      </c>
      <c r="BM22" s="74">
        <f>+'INGRESOS '!BP13</f>
        <v>960</v>
      </c>
      <c r="BN22" s="74">
        <f>+'INGRESOS '!BQ13</f>
        <v>960</v>
      </c>
      <c r="BO22" s="74">
        <f>+'INGRESOS '!BR13</f>
        <v>960</v>
      </c>
      <c r="BP22" s="76">
        <f t="shared" si="43"/>
        <v>960</v>
      </c>
    </row>
    <row r="23" spans="2:68" x14ac:dyDescent="0.25">
      <c r="B23" s="390"/>
      <c r="C23" s="83" t="s">
        <v>111</v>
      </c>
      <c r="D23" s="102">
        <v>31.25</v>
      </c>
      <c r="E23" s="74">
        <f>+D23</f>
        <v>31.25</v>
      </c>
      <c r="F23" s="74">
        <f t="shared" si="49"/>
        <v>31.25</v>
      </c>
      <c r="G23" s="74">
        <f t="shared" si="49"/>
        <v>31.25</v>
      </c>
      <c r="H23" s="74">
        <f t="shared" si="49"/>
        <v>31.25</v>
      </c>
      <c r="I23" s="74">
        <f t="shared" si="49"/>
        <v>31.25</v>
      </c>
      <c r="J23" s="74">
        <f t="shared" si="49"/>
        <v>31.25</v>
      </c>
      <c r="K23" s="74">
        <f t="shared" si="49"/>
        <v>31.25</v>
      </c>
      <c r="L23" s="74">
        <f t="shared" si="49"/>
        <v>31.25</v>
      </c>
      <c r="M23" s="74">
        <f t="shared" si="49"/>
        <v>31.25</v>
      </c>
      <c r="N23" s="74">
        <f t="shared" si="49"/>
        <v>31.25</v>
      </c>
      <c r="O23" s="74">
        <f t="shared" si="49"/>
        <v>31.25</v>
      </c>
      <c r="P23" s="74">
        <f t="shared" si="35"/>
        <v>31.25</v>
      </c>
      <c r="Q23" s="74">
        <f>+O23</f>
        <v>31.25</v>
      </c>
      <c r="R23" s="74">
        <f>+Q23</f>
        <v>31.25</v>
      </c>
      <c r="S23" s="74">
        <f t="shared" si="45"/>
        <v>31.25</v>
      </c>
      <c r="T23" s="74">
        <f t="shared" si="45"/>
        <v>31.25</v>
      </c>
      <c r="U23" s="74">
        <f t="shared" si="45"/>
        <v>31.25</v>
      </c>
      <c r="V23" s="74">
        <f t="shared" si="45"/>
        <v>31.25</v>
      </c>
      <c r="W23" s="74">
        <f t="shared" si="45"/>
        <v>31.25</v>
      </c>
      <c r="X23" s="74">
        <f t="shared" si="45"/>
        <v>31.25</v>
      </c>
      <c r="Y23" s="74">
        <f t="shared" si="45"/>
        <v>31.25</v>
      </c>
      <c r="Z23" s="74">
        <f t="shared" si="45"/>
        <v>31.25</v>
      </c>
      <c r="AA23" s="74">
        <f t="shared" si="45"/>
        <v>31.25</v>
      </c>
      <c r="AB23" s="74">
        <f t="shared" si="45"/>
        <v>31.25</v>
      </c>
      <c r="AC23" s="74">
        <f t="shared" si="37"/>
        <v>31.25</v>
      </c>
      <c r="AD23" s="74">
        <f>+AB23</f>
        <v>31.25</v>
      </c>
      <c r="AE23" s="74">
        <f>+AD23</f>
        <v>31.25</v>
      </c>
      <c r="AF23" s="74">
        <f t="shared" si="46"/>
        <v>31.25</v>
      </c>
      <c r="AG23" s="74">
        <f t="shared" si="46"/>
        <v>31.25</v>
      </c>
      <c r="AH23" s="74">
        <f t="shared" si="46"/>
        <v>31.25</v>
      </c>
      <c r="AI23" s="74">
        <f t="shared" si="46"/>
        <v>31.25</v>
      </c>
      <c r="AJ23" s="74">
        <f t="shared" si="46"/>
        <v>31.25</v>
      </c>
      <c r="AK23" s="74">
        <f t="shared" si="46"/>
        <v>31.25</v>
      </c>
      <c r="AL23" s="74">
        <f t="shared" si="46"/>
        <v>31.25</v>
      </c>
      <c r="AM23" s="74">
        <f t="shared" si="46"/>
        <v>31.25</v>
      </c>
      <c r="AN23" s="74">
        <f t="shared" si="46"/>
        <v>31.25</v>
      </c>
      <c r="AO23" s="74">
        <f t="shared" si="46"/>
        <v>31.25</v>
      </c>
      <c r="AP23" s="74">
        <f t="shared" si="39"/>
        <v>31.25</v>
      </c>
      <c r="AQ23" s="255">
        <f>+AO23</f>
        <v>31.25</v>
      </c>
      <c r="AR23" s="74">
        <f t="shared" ref="AR23:BB23" si="64">+AQ23</f>
        <v>31.25</v>
      </c>
      <c r="AS23" s="74">
        <f t="shared" si="64"/>
        <v>31.25</v>
      </c>
      <c r="AT23" s="74">
        <f t="shared" si="64"/>
        <v>31.25</v>
      </c>
      <c r="AU23" s="74">
        <f t="shared" si="64"/>
        <v>31.25</v>
      </c>
      <c r="AV23" s="74">
        <f t="shared" si="64"/>
        <v>31.25</v>
      </c>
      <c r="AW23" s="74">
        <f t="shared" si="64"/>
        <v>31.25</v>
      </c>
      <c r="AX23" s="74">
        <f t="shared" si="64"/>
        <v>31.25</v>
      </c>
      <c r="AY23" s="74">
        <f t="shared" si="64"/>
        <v>31.25</v>
      </c>
      <c r="AZ23" s="74">
        <f t="shared" si="64"/>
        <v>31.25</v>
      </c>
      <c r="BA23" s="74">
        <f t="shared" si="64"/>
        <v>31.25</v>
      </c>
      <c r="BB23" s="74">
        <f t="shared" si="64"/>
        <v>31.25</v>
      </c>
      <c r="BC23" s="74">
        <f t="shared" si="41"/>
        <v>31.25</v>
      </c>
      <c r="BD23" s="255">
        <f>+BB23</f>
        <v>31.25</v>
      </c>
      <c r="BE23" s="74">
        <f t="shared" ref="BE23:BO23" si="65">+BD23</f>
        <v>31.25</v>
      </c>
      <c r="BF23" s="74">
        <f t="shared" si="65"/>
        <v>31.25</v>
      </c>
      <c r="BG23" s="74">
        <f t="shared" si="65"/>
        <v>31.25</v>
      </c>
      <c r="BH23" s="74">
        <f t="shared" si="65"/>
        <v>31.25</v>
      </c>
      <c r="BI23" s="74">
        <f t="shared" si="65"/>
        <v>31.25</v>
      </c>
      <c r="BJ23" s="74">
        <f t="shared" si="65"/>
        <v>31.25</v>
      </c>
      <c r="BK23" s="74">
        <f t="shared" si="65"/>
        <v>31.25</v>
      </c>
      <c r="BL23" s="74">
        <f t="shared" si="65"/>
        <v>31.25</v>
      </c>
      <c r="BM23" s="74">
        <f t="shared" si="65"/>
        <v>31.25</v>
      </c>
      <c r="BN23" s="74">
        <f t="shared" si="65"/>
        <v>31.25</v>
      </c>
      <c r="BO23" s="74">
        <f t="shared" si="65"/>
        <v>31.25</v>
      </c>
      <c r="BP23" s="76">
        <f t="shared" si="43"/>
        <v>31.25</v>
      </c>
    </row>
    <row r="24" spans="2:68" x14ac:dyDescent="0.25">
      <c r="B24" s="390"/>
      <c r="C24" s="83" t="s">
        <v>112</v>
      </c>
      <c r="D24" s="74">
        <f>+D22*D23</f>
        <v>10000</v>
      </c>
      <c r="E24" s="74">
        <f t="shared" ref="E24:Q24" si="66">+E22*E23</f>
        <v>10000</v>
      </c>
      <c r="F24" s="74">
        <f t="shared" si="66"/>
        <v>10000</v>
      </c>
      <c r="G24" s="74">
        <f t="shared" si="66"/>
        <v>10000</v>
      </c>
      <c r="H24" s="74">
        <f t="shared" si="66"/>
        <v>10000</v>
      </c>
      <c r="I24" s="74">
        <f t="shared" si="66"/>
        <v>10000</v>
      </c>
      <c r="J24" s="74">
        <f t="shared" si="66"/>
        <v>20000</v>
      </c>
      <c r="K24" s="74">
        <f t="shared" si="66"/>
        <v>20000</v>
      </c>
      <c r="L24" s="74">
        <f t="shared" si="66"/>
        <v>20000</v>
      </c>
      <c r="M24" s="74">
        <f t="shared" si="66"/>
        <v>20000</v>
      </c>
      <c r="N24" s="74">
        <f t="shared" si="66"/>
        <v>20000</v>
      </c>
      <c r="O24" s="74">
        <f t="shared" si="66"/>
        <v>20000</v>
      </c>
      <c r="P24" s="74">
        <f t="shared" si="35"/>
        <v>20000</v>
      </c>
      <c r="Q24" s="74">
        <f t="shared" si="66"/>
        <v>20000</v>
      </c>
      <c r="R24" s="74">
        <f t="shared" ref="R24:AB24" si="67">+R22*R23</f>
        <v>20000</v>
      </c>
      <c r="S24" s="74">
        <f t="shared" si="67"/>
        <v>20000</v>
      </c>
      <c r="T24" s="74">
        <f t="shared" si="67"/>
        <v>20000</v>
      </c>
      <c r="U24" s="74">
        <f t="shared" si="67"/>
        <v>20000</v>
      </c>
      <c r="V24" s="74">
        <f t="shared" si="67"/>
        <v>20000</v>
      </c>
      <c r="W24" s="74">
        <f t="shared" si="67"/>
        <v>30000</v>
      </c>
      <c r="X24" s="74">
        <f t="shared" si="67"/>
        <v>30000</v>
      </c>
      <c r="Y24" s="74">
        <f t="shared" si="67"/>
        <v>30000</v>
      </c>
      <c r="Z24" s="74">
        <f t="shared" si="67"/>
        <v>30000</v>
      </c>
      <c r="AA24" s="74">
        <f t="shared" si="67"/>
        <v>30000</v>
      </c>
      <c r="AB24" s="74">
        <f t="shared" si="67"/>
        <v>30000</v>
      </c>
      <c r="AC24" s="74">
        <f t="shared" si="37"/>
        <v>30000</v>
      </c>
      <c r="AD24" s="74">
        <f t="shared" ref="AD24:AO24" si="68">+AD22*AD23</f>
        <v>30000</v>
      </c>
      <c r="AE24" s="74">
        <f t="shared" si="68"/>
        <v>30000</v>
      </c>
      <c r="AF24" s="74">
        <f t="shared" si="68"/>
        <v>30000</v>
      </c>
      <c r="AG24" s="74">
        <f t="shared" si="68"/>
        <v>30000</v>
      </c>
      <c r="AH24" s="74">
        <f t="shared" si="68"/>
        <v>30000</v>
      </c>
      <c r="AI24" s="74">
        <f t="shared" si="68"/>
        <v>30000</v>
      </c>
      <c r="AJ24" s="74">
        <f t="shared" si="68"/>
        <v>30000</v>
      </c>
      <c r="AK24" s="74">
        <f t="shared" si="68"/>
        <v>30000</v>
      </c>
      <c r="AL24" s="74">
        <f t="shared" si="68"/>
        <v>30000</v>
      </c>
      <c r="AM24" s="74">
        <f t="shared" si="68"/>
        <v>30000</v>
      </c>
      <c r="AN24" s="74">
        <f t="shared" si="68"/>
        <v>30000</v>
      </c>
      <c r="AO24" s="74">
        <f t="shared" si="68"/>
        <v>30000</v>
      </c>
      <c r="AP24" s="74">
        <f t="shared" si="39"/>
        <v>30000</v>
      </c>
      <c r="AQ24" s="255">
        <f t="shared" ref="AQ24:BB24" si="69">+AQ22*AQ23</f>
        <v>30000</v>
      </c>
      <c r="AR24" s="74">
        <f t="shared" si="69"/>
        <v>30000</v>
      </c>
      <c r="AS24" s="74">
        <f t="shared" si="69"/>
        <v>30000</v>
      </c>
      <c r="AT24" s="74">
        <f t="shared" si="69"/>
        <v>30000</v>
      </c>
      <c r="AU24" s="74">
        <f t="shared" si="69"/>
        <v>30000</v>
      </c>
      <c r="AV24" s="74">
        <f t="shared" si="69"/>
        <v>30000</v>
      </c>
      <c r="AW24" s="74">
        <f t="shared" si="69"/>
        <v>30000</v>
      </c>
      <c r="AX24" s="74">
        <f t="shared" si="69"/>
        <v>30000</v>
      </c>
      <c r="AY24" s="74">
        <f t="shared" si="69"/>
        <v>30000</v>
      </c>
      <c r="AZ24" s="74">
        <f t="shared" si="69"/>
        <v>30000</v>
      </c>
      <c r="BA24" s="74">
        <f t="shared" si="69"/>
        <v>30000</v>
      </c>
      <c r="BB24" s="74">
        <f t="shared" si="69"/>
        <v>30000</v>
      </c>
      <c r="BC24" s="74">
        <f t="shared" si="41"/>
        <v>30000</v>
      </c>
      <c r="BD24" s="255">
        <f t="shared" ref="BD24:BO24" si="70">+BD22*BD23</f>
        <v>30000</v>
      </c>
      <c r="BE24" s="74">
        <f t="shared" si="70"/>
        <v>30000</v>
      </c>
      <c r="BF24" s="74">
        <f t="shared" si="70"/>
        <v>30000</v>
      </c>
      <c r="BG24" s="74">
        <f t="shared" si="70"/>
        <v>30000</v>
      </c>
      <c r="BH24" s="74">
        <f t="shared" si="70"/>
        <v>30000</v>
      </c>
      <c r="BI24" s="74">
        <f t="shared" si="70"/>
        <v>30000</v>
      </c>
      <c r="BJ24" s="74">
        <f t="shared" si="70"/>
        <v>30000</v>
      </c>
      <c r="BK24" s="74">
        <f t="shared" si="70"/>
        <v>30000</v>
      </c>
      <c r="BL24" s="74">
        <f t="shared" si="70"/>
        <v>30000</v>
      </c>
      <c r="BM24" s="74">
        <f t="shared" si="70"/>
        <v>30000</v>
      </c>
      <c r="BN24" s="74">
        <f t="shared" si="70"/>
        <v>30000</v>
      </c>
      <c r="BO24" s="74">
        <f t="shared" si="70"/>
        <v>30000</v>
      </c>
      <c r="BP24" s="76">
        <f t="shared" si="43"/>
        <v>30000</v>
      </c>
    </row>
    <row r="25" spans="2:68" x14ac:dyDescent="0.25">
      <c r="B25" s="390"/>
      <c r="C25" s="83" t="s">
        <v>115</v>
      </c>
      <c r="D25" s="104">
        <f>+D24/D21</f>
        <v>17.857142857142858</v>
      </c>
      <c r="E25" s="104">
        <f t="shared" ref="E25:O25" si="71">+E24/E21</f>
        <v>17.857142857142858</v>
      </c>
      <c r="F25" s="104">
        <f t="shared" si="71"/>
        <v>17.857142857142858</v>
      </c>
      <c r="G25" s="104">
        <f t="shared" si="71"/>
        <v>17.857142857142858</v>
      </c>
      <c r="H25" s="104">
        <f t="shared" si="71"/>
        <v>17.857142857142858</v>
      </c>
      <c r="I25" s="104">
        <f t="shared" si="71"/>
        <v>17.857142857142858</v>
      </c>
      <c r="J25" s="104">
        <f t="shared" si="71"/>
        <v>35.714285714285715</v>
      </c>
      <c r="K25" s="104">
        <f t="shared" si="71"/>
        <v>35.714285714285715</v>
      </c>
      <c r="L25" s="104">
        <f t="shared" si="71"/>
        <v>35.714285714285715</v>
      </c>
      <c r="M25" s="104">
        <f t="shared" si="71"/>
        <v>35.714285714285715</v>
      </c>
      <c r="N25" s="104">
        <f t="shared" si="71"/>
        <v>35.714285714285715</v>
      </c>
      <c r="O25" s="104">
        <f t="shared" si="71"/>
        <v>35.714285714285715</v>
      </c>
      <c r="P25" s="74">
        <f t="shared" si="35"/>
        <v>35.714285714285715</v>
      </c>
      <c r="Q25" s="104">
        <f t="shared" ref="Q25:AB25" si="72">+Q24/Q21</f>
        <v>35.714285714285715</v>
      </c>
      <c r="R25" s="104">
        <f t="shared" si="72"/>
        <v>35.714285714285715</v>
      </c>
      <c r="S25" s="104">
        <f t="shared" si="72"/>
        <v>35.714285714285715</v>
      </c>
      <c r="T25" s="104">
        <f t="shared" si="72"/>
        <v>35.714285714285715</v>
      </c>
      <c r="U25" s="104">
        <f t="shared" si="72"/>
        <v>35.714285714285715</v>
      </c>
      <c r="V25" s="104">
        <f t="shared" si="72"/>
        <v>35.714285714285715</v>
      </c>
      <c r="W25" s="104">
        <f t="shared" si="72"/>
        <v>53.571428571428569</v>
      </c>
      <c r="X25" s="104">
        <f t="shared" si="72"/>
        <v>53.571428571428569</v>
      </c>
      <c r="Y25" s="104">
        <f t="shared" si="72"/>
        <v>53.571428571428569</v>
      </c>
      <c r="Z25" s="104">
        <f t="shared" si="72"/>
        <v>53.571428571428569</v>
      </c>
      <c r="AA25" s="104">
        <f t="shared" si="72"/>
        <v>53.571428571428569</v>
      </c>
      <c r="AB25" s="104">
        <f t="shared" si="72"/>
        <v>53.571428571428569</v>
      </c>
      <c r="AC25" s="74">
        <f t="shared" si="37"/>
        <v>53.571428571428569</v>
      </c>
      <c r="AD25" s="104">
        <f t="shared" ref="AD25:AO25" si="73">+AD24/AD21</f>
        <v>53.571428571428569</v>
      </c>
      <c r="AE25" s="104">
        <f t="shared" si="73"/>
        <v>53.571428571428569</v>
      </c>
      <c r="AF25" s="104">
        <f t="shared" si="73"/>
        <v>53.571428571428569</v>
      </c>
      <c r="AG25" s="104">
        <f t="shared" si="73"/>
        <v>53.571428571428569</v>
      </c>
      <c r="AH25" s="104">
        <f t="shared" si="73"/>
        <v>53.571428571428569</v>
      </c>
      <c r="AI25" s="104">
        <f t="shared" si="73"/>
        <v>53.571428571428569</v>
      </c>
      <c r="AJ25" s="104">
        <f t="shared" si="73"/>
        <v>53.571428571428569</v>
      </c>
      <c r="AK25" s="104">
        <f t="shared" si="73"/>
        <v>53.571428571428569</v>
      </c>
      <c r="AL25" s="104">
        <f t="shared" si="73"/>
        <v>53.571428571428569</v>
      </c>
      <c r="AM25" s="104">
        <f t="shared" si="73"/>
        <v>53.571428571428569</v>
      </c>
      <c r="AN25" s="104">
        <f t="shared" si="73"/>
        <v>53.571428571428569</v>
      </c>
      <c r="AO25" s="104">
        <f t="shared" si="73"/>
        <v>53.571428571428569</v>
      </c>
      <c r="AP25" s="74">
        <f t="shared" si="39"/>
        <v>53.571428571428569</v>
      </c>
      <c r="AQ25" s="258">
        <f t="shared" ref="AQ25:BB25" si="74">+AQ24/AQ21</f>
        <v>53.571428571428569</v>
      </c>
      <c r="AR25" s="104">
        <f t="shared" si="74"/>
        <v>53.571428571428569</v>
      </c>
      <c r="AS25" s="104">
        <f t="shared" si="74"/>
        <v>53.571428571428569</v>
      </c>
      <c r="AT25" s="104">
        <f t="shared" si="74"/>
        <v>53.571428571428569</v>
      </c>
      <c r="AU25" s="104">
        <f t="shared" si="74"/>
        <v>53.571428571428569</v>
      </c>
      <c r="AV25" s="104">
        <f t="shared" si="74"/>
        <v>53.571428571428569</v>
      </c>
      <c r="AW25" s="104">
        <f t="shared" si="74"/>
        <v>53.571428571428569</v>
      </c>
      <c r="AX25" s="104">
        <f t="shared" si="74"/>
        <v>53.571428571428569</v>
      </c>
      <c r="AY25" s="104">
        <f t="shared" si="74"/>
        <v>53.571428571428569</v>
      </c>
      <c r="AZ25" s="104">
        <f t="shared" si="74"/>
        <v>53.571428571428569</v>
      </c>
      <c r="BA25" s="104">
        <f t="shared" si="74"/>
        <v>53.571428571428569</v>
      </c>
      <c r="BB25" s="104">
        <f t="shared" si="74"/>
        <v>53.571428571428569</v>
      </c>
      <c r="BC25" s="74">
        <f t="shared" si="41"/>
        <v>53.571428571428569</v>
      </c>
      <c r="BD25" s="258">
        <f t="shared" ref="BD25:BO25" si="75">+BD24/BD21</f>
        <v>53.571428571428569</v>
      </c>
      <c r="BE25" s="104">
        <f t="shared" si="75"/>
        <v>53.571428571428569</v>
      </c>
      <c r="BF25" s="104">
        <f t="shared" si="75"/>
        <v>53.571428571428569</v>
      </c>
      <c r="BG25" s="104">
        <f t="shared" si="75"/>
        <v>53.571428571428569</v>
      </c>
      <c r="BH25" s="104">
        <f t="shared" si="75"/>
        <v>53.571428571428569</v>
      </c>
      <c r="BI25" s="104">
        <f t="shared" si="75"/>
        <v>53.571428571428569</v>
      </c>
      <c r="BJ25" s="104">
        <f t="shared" si="75"/>
        <v>53.571428571428569</v>
      </c>
      <c r="BK25" s="104">
        <f t="shared" si="75"/>
        <v>53.571428571428569</v>
      </c>
      <c r="BL25" s="104">
        <f t="shared" si="75"/>
        <v>53.571428571428569</v>
      </c>
      <c r="BM25" s="104">
        <f t="shared" si="75"/>
        <v>53.571428571428569</v>
      </c>
      <c r="BN25" s="104">
        <f t="shared" si="75"/>
        <v>53.571428571428569</v>
      </c>
      <c r="BO25" s="104">
        <f t="shared" si="75"/>
        <v>53.571428571428569</v>
      </c>
      <c r="BP25" s="76">
        <f t="shared" si="43"/>
        <v>53.571428571428569</v>
      </c>
    </row>
    <row r="26" spans="2:68" x14ac:dyDescent="0.25">
      <c r="B26" s="391"/>
      <c r="C26" s="111" t="s">
        <v>113</v>
      </c>
      <c r="D26" s="81">
        <f>ROUND(D25*D19,0)</f>
        <v>2803571</v>
      </c>
      <c r="E26" s="81">
        <f t="shared" ref="E26:Q26" si="76">ROUND(E25*E19,0)</f>
        <v>2821429</v>
      </c>
      <c r="F26" s="81">
        <f t="shared" si="76"/>
        <v>2839286</v>
      </c>
      <c r="G26" s="81">
        <f t="shared" si="76"/>
        <v>2857143</v>
      </c>
      <c r="H26" s="81">
        <f t="shared" si="76"/>
        <v>2875000</v>
      </c>
      <c r="I26" s="81">
        <f t="shared" si="76"/>
        <v>2892857</v>
      </c>
      <c r="J26" s="81">
        <f t="shared" si="76"/>
        <v>5821429</v>
      </c>
      <c r="K26" s="81">
        <f t="shared" si="76"/>
        <v>5857143</v>
      </c>
      <c r="L26" s="81">
        <f t="shared" si="76"/>
        <v>5892857</v>
      </c>
      <c r="M26" s="81">
        <f t="shared" si="76"/>
        <v>5928571</v>
      </c>
      <c r="N26" s="81">
        <f t="shared" si="76"/>
        <v>5964286</v>
      </c>
      <c r="O26" s="81">
        <f t="shared" si="76"/>
        <v>6000000</v>
      </c>
      <c r="P26" s="81">
        <f>SUM(D26:O26)</f>
        <v>52553572</v>
      </c>
      <c r="Q26" s="81">
        <f t="shared" si="76"/>
        <v>6035714</v>
      </c>
      <c r="R26" s="81">
        <f t="shared" ref="R26:AB26" si="77">ROUND(R25*R19,0)</f>
        <v>6071429</v>
      </c>
      <c r="S26" s="81">
        <f t="shared" si="77"/>
        <v>6107143</v>
      </c>
      <c r="T26" s="81">
        <f t="shared" si="77"/>
        <v>6142857</v>
      </c>
      <c r="U26" s="81">
        <f t="shared" si="77"/>
        <v>6178571</v>
      </c>
      <c r="V26" s="81">
        <f t="shared" si="77"/>
        <v>6214286</v>
      </c>
      <c r="W26" s="81">
        <f t="shared" si="77"/>
        <v>9375000</v>
      </c>
      <c r="X26" s="81">
        <f t="shared" si="77"/>
        <v>9428571</v>
      </c>
      <c r="Y26" s="81">
        <f t="shared" si="77"/>
        <v>9482143</v>
      </c>
      <c r="Z26" s="81">
        <f t="shared" si="77"/>
        <v>9535714</v>
      </c>
      <c r="AA26" s="81">
        <f t="shared" si="77"/>
        <v>9589286</v>
      </c>
      <c r="AB26" s="81">
        <f t="shared" si="77"/>
        <v>9642857</v>
      </c>
      <c r="AC26" s="81">
        <f>SUM(Q26:AB26)</f>
        <v>93803571</v>
      </c>
      <c r="AD26" s="81">
        <f t="shared" ref="AD26:AO26" si="78">ROUND(AD25*AD19,0)</f>
        <v>9696429</v>
      </c>
      <c r="AE26" s="81">
        <f t="shared" si="78"/>
        <v>9750000</v>
      </c>
      <c r="AF26" s="81">
        <f t="shared" si="78"/>
        <v>9803571</v>
      </c>
      <c r="AG26" s="81">
        <f t="shared" si="78"/>
        <v>9857143</v>
      </c>
      <c r="AH26" s="81">
        <f t="shared" si="78"/>
        <v>9910714</v>
      </c>
      <c r="AI26" s="81">
        <f t="shared" si="78"/>
        <v>9964286</v>
      </c>
      <c r="AJ26" s="81">
        <f t="shared" si="78"/>
        <v>10017857</v>
      </c>
      <c r="AK26" s="81">
        <f t="shared" si="78"/>
        <v>10071429</v>
      </c>
      <c r="AL26" s="81">
        <f t="shared" si="78"/>
        <v>10125000</v>
      </c>
      <c r="AM26" s="81">
        <f t="shared" si="78"/>
        <v>10178571</v>
      </c>
      <c r="AN26" s="81">
        <f t="shared" si="78"/>
        <v>10232143</v>
      </c>
      <c r="AO26" s="81">
        <f t="shared" si="78"/>
        <v>10285714</v>
      </c>
      <c r="AP26" s="81">
        <f>SUM(AD26:AO26)</f>
        <v>119892857</v>
      </c>
      <c r="AQ26" s="256">
        <f t="shared" ref="AQ26:BB26" si="79">ROUND(AQ25*AQ19,0)</f>
        <v>10339286</v>
      </c>
      <c r="AR26" s="81">
        <f t="shared" si="79"/>
        <v>10392857</v>
      </c>
      <c r="AS26" s="81">
        <f t="shared" si="79"/>
        <v>10446429</v>
      </c>
      <c r="AT26" s="81">
        <f t="shared" si="79"/>
        <v>10500000</v>
      </c>
      <c r="AU26" s="81">
        <f t="shared" si="79"/>
        <v>10553571</v>
      </c>
      <c r="AV26" s="81">
        <f t="shared" si="79"/>
        <v>10607143</v>
      </c>
      <c r="AW26" s="81">
        <f t="shared" si="79"/>
        <v>10660714</v>
      </c>
      <c r="AX26" s="81">
        <f t="shared" si="79"/>
        <v>10714286</v>
      </c>
      <c r="AY26" s="81">
        <f t="shared" si="79"/>
        <v>10767857</v>
      </c>
      <c r="AZ26" s="81">
        <f t="shared" si="79"/>
        <v>10821429</v>
      </c>
      <c r="BA26" s="81">
        <f t="shared" si="79"/>
        <v>10875000</v>
      </c>
      <c r="BB26" s="81">
        <f t="shared" si="79"/>
        <v>10928571</v>
      </c>
      <c r="BC26" s="81">
        <f>SUM(AQ26:BB26)</f>
        <v>127607143</v>
      </c>
      <c r="BD26" s="256">
        <f t="shared" ref="BD26:BO26" si="80">ROUND(BD25*BD19,0)</f>
        <v>10982143</v>
      </c>
      <c r="BE26" s="81">
        <f t="shared" si="80"/>
        <v>11035714</v>
      </c>
      <c r="BF26" s="81">
        <f t="shared" si="80"/>
        <v>11089286</v>
      </c>
      <c r="BG26" s="81">
        <f t="shared" si="80"/>
        <v>11142857</v>
      </c>
      <c r="BH26" s="81">
        <f t="shared" si="80"/>
        <v>11196429</v>
      </c>
      <c r="BI26" s="81">
        <f t="shared" si="80"/>
        <v>11250000</v>
      </c>
      <c r="BJ26" s="81">
        <f t="shared" si="80"/>
        <v>11303571</v>
      </c>
      <c r="BK26" s="81">
        <f t="shared" si="80"/>
        <v>11357143</v>
      </c>
      <c r="BL26" s="81">
        <f t="shared" si="80"/>
        <v>11410714</v>
      </c>
      <c r="BM26" s="81">
        <f t="shared" si="80"/>
        <v>11464286</v>
      </c>
      <c r="BN26" s="81">
        <f t="shared" si="80"/>
        <v>11517857</v>
      </c>
      <c r="BO26" s="81">
        <f t="shared" si="80"/>
        <v>11571429</v>
      </c>
      <c r="BP26" s="101">
        <f>SUM(BD26:BO26)</f>
        <v>135321429</v>
      </c>
    </row>
    <row r="27" spans="2:68" ht="15" customHeight="1" x14ac:dyDescent="0.25">
      <c r="B27" s="389" t="s">
        <v>208</v>
      </c>
      <c r="C27" s="83" t="s">
        <v>121</v>
      </c>
      <c r="D27" s="102">
        <v>15000</v>
      </c>
      <c r="E27" s="74">
        <f>+D27</f>
        <v>15000</v>
      </c>
      <c r="F27" s="74">
        <f t="shared" ref="F27:O27" si="81">+E27</f>
        <v>15000</v>
      </c>
      <c r="G27" s="74">
        <f t="shared" si="81"/>
        <v>15000</v>
      </c>
      <c r="H27" s="74">
        <f t="shared" si="81"/>
        <v>15000</v>
      </c>
      <c r="I27" s="74">
        <f t="shared" si="81"/>
        <v>15000</v>
      </c>
      <c r="J27" s="74">
        <f t="shared" si="81"/>
        <v>15000</v>
      </c>
      <c r="K27" s="74">
        <f t="shared" si="81"/>
        <v>15000</v>
      </c>
      <c r="L27" s="74">
        <f t="shared" si="81"/>
        <v>15000</v>
      </c>
      <c r="M27" s="74">
        <f t="shared" si="81"/>
        <v>15000</v>
      </c>
      <c r="N27" s="74">
        <f t="shared" si="81"/>
        <v>15000</v>
      </c>
      <c r="O27" s="74">
        <f t="shared" si="81"/>
        <v>15000</v>
      </c>
      <c r="P27" s="75">
        <f>+O27</f>
        <v>15000</v>
      </c>
      <c r="Q27" s="75">
        <f>ROUND(+O27*(1+O28),0)</f>
        <v>15600</v>
      </c>
      <c r="R27" s="75">
        <f>+Q27</f>
        <v>15600</v>
      </c>
      <c r="S27" s="75">
        <f t="shared" ref="S27:AB27" si="82">+R27</f>
        <v>15600</v>
      </c>
      <c r="T27" s="75">
        <f t="shared" si="82"/>
        <v>15600</v>
      </c>
      <c r="U27" s="75">
        <f t="shared" si="82"/>
        <v>15600</v>
      </c>
      <c r="V27" s="75">
        <f t="shared" si="82"/>
        <v>15600</v>
      </c>
      <c r="W27" s="75">
        <f t="shared" si="82"/>
        <v>15600</v>
      </c>
      <c r="X27" s="75">
        <f t="shared" si="82"/>
        <v>15600</v>
      </c>
      <c r="Y27" s="75">
        <f t="shared" si="82"/>
        <v>15600</v>
      </c>
      <c r="Z27" s="75">
        <f t="shared" si="82"/>
        <v>15600</v>
      </c>
      <c r="AA27" s="75">
        <f t="shared" si="82"/>
        <v>15600</v>
      </c>
      <c r="AB27" s="75">
        <f t="shared" si="82"/>
        <v>15600</v>
      </c>
      <c r="AC27" s="75">
        <f>+AB27</f>
        <v>15600</v>
      </c>
      <c r="AD27" s="75">
        <f>ROUND(+AB27*(1+AB28),0)</f>
        <v>16224</v>
      </c>
      <c r="AE27" s="75">
        <f>+AD27</f>
        <v>16224</v>
      </c>
      <c r="AF27" s="75">
        <f t="shared" ref="AF27:AO27" si="83">+AE27</f>
        <v>16224</v>
      </c>
      <c r="AG27" s="75">
        <f t="shared" si="83"/>
        <v>16224</v>
      </c>
      <c r="AH27" s="75">
        <f t="shared" si="83"/>
        <v>16224</v>
      </c>
      <c r="AI27" s="75">
        <f t="shared" si="83"/>
        <v>16224</v>
      </c>
      <c r="AJ27" s="75">
        <f t="shared" si="83"/>
        <v>16224</v>
      </c>
      <c r="AK27" s="75">
        <f t="shared" si="83"/>
        <v>16224</v>
      </c>
      <c r="AL27" s="75">
        <f t="shared" si="83"/>
        <v>16224</v>
      </c>
      <c r="AM27" s="75">
        <f t="shared" si="83"/>
        <v>16224</v>
      </c>
      <c r="AN27" s="75">
        <f t="shared" si="83"/>
        <v>16224</v>
      </c>
      <c r="AO27" s="75">
        <f t="shared" si="83"/>
        <v>16224</v>
      </c>
      <c r="AP27" s="75">
        <f>+AO27</f>
        <v>16224</v>
      </c>
      <c r="AQ27" s="254">
        <f>ROUND(+AO27*(1+AO28),0)</f>
        <v>16224</v>
      </c>
      <c r="AR27" s="75">
        <f t="shared" ref="AR27:BC27" si="84">+AQ27</f>
        <v>16224</v>
      </c>
      <c r="AS27" s="75">
        <f t="shared" si="84"/>
        <v>16224</v>
      </c>
      <c r="AT27" s="75">
        <f t="shared" si="84"/>
        <v>16224</v>
      </c>
      <c r="AU27" s="75">
        <f t="shared" si="84"/>
        <v>16224</v>
      </c>
      <c r="AV27" s="75">
        <f t="shared" si="84"/>
        <v>16224</v>
      </c>
      <c r="AW27" s="75">
        <f t="shared" si="84"/>
        <v>16224</v>
      </c>
      <c r="AX27" s="75">
        <f t="shared" si="84"/>
        <v>16224</v>
      </c>
      <c r="AY27" s="75">
        <f t="shared" si="84"/>
        <v>16224</v>
      </c>
      <c r="AZ27" s="75">
        <f t="shared" si="84"/>
        <v>16224</v>
      </c>
      <c r="BA27" s="75">
        <f t="shared" si="84"/>
        <v>16224</v>
      </c>
      <c r="BB27" s="75">
        <f t="shared" si="84"/>
        <v>16224</v>
      </c>
      <c r="BC27" s="75">
        <f t="shared" si="84"/>
        <v>16224</v>
      </c>
      <c r="BD27" s="254">
        <f>ROUND(+BB27*(1+BB28),0)</f>
        <v>16224</v>
      </c>
      <c r="BE27" s="75">
        <f t="shared" ref="BE27:BP27" si="85">+BD27</f>
        <v>16224</v>
      </c>
      <c r="BF27" s="75">
        <f t="shared" si="85"/>
        <v>16224</v>
      </c>
      <c r="BG27" s="75">
        <f t="shared" si="85"/>
        <v>16224</v>
      </c>
      <c r="BH27" s="75">
        <f t="shared" si="85"/>
        <v>16224</v>
      </c>
      <c r="BI27" s="75">
        <f t="shared" si="85"/>
        <v>16224</v>
      </c>
      <c r="BJ27" s="75">
        <f t="shared" si="85"/>
        <v>16224</v>
      </c>
      <c r="BK27" s="75">
        <f t="shared" si="85"/>
        <v>16224</v>
      </c>
      <c r="BL27" s="75">
        <f t="shared" si="85"/>
        <v>16224</v>
      </c>
      <c r="BM27" s="75">
        <f t="shared" si="85"/>
        <v>16224</v>
      </c>
      <c r="BN27" s="75">
        <f t="shared" si="85"/>
        <v>16224</v>
      </c>
      <c r="BO27" s="75">
        <f t="shared" si="85"/>
        <v>16224</v>
      </c>
      <c r="BP27" s="82">
        <f t="shared" si="85"/>
        <v>16224</v>
      </c>
    </row>
    <row r="28" spans="2:68" x14ac:dyDescent="0.25">
      <c r="B28" s="390"/>
      <c r="C28" s="58" t="s">
        <v>102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77">
        <v>0.04</v>
      </c>
      <c r="P28" s="78">
        <f>+O28</f>
        <v>0.04</v>
      </c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77">
        <v>0.04</v>
      </c>
      <c r="AC28" s="78">
        <f>+AB28</f>
        <v>0.04</v>
      </c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19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19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63"/>
    </row>
    <row r="29" spans="2:68" x14ac:dyDescent="0.25">
      <c r="B29" s="390"/>
      <c r="C29" s="83" t="s">
        <v>243</v>
      </c>
      <c r="D29" s="102">
        <v>12</v>
      </c>
      <c r="E29" s="74">
        <f>+D29</f>
        <v>12</v>
      </c>
      <c r="F29" s="74">
        <f t="shared" ref="F29:O29" si="86">+E29</f>
        <v>12</v>
      </c>
      <c r="G29" s="74">
        <f t="shared" si="86"/>
        <v>12</v>
      </c>
      <c r="H29" s="74">
        <f t="shared" si="86"/>
        <v>12</v>
      </c>
      <c r="I29" s="74">
        <f t="shared" si="86"/>
        <v>12</v>
      </c>
      <c r="J29" s="74">
        <f t="shared" si="86"/>
        <v>12</v>
      </c>
      <c r="K29" s="74">
        <f t="shared" si="86"/>
        <v>12</v>
      </c>
      <c r="L29" s="74">
        <f t="shared" si="86"/>
        <v>12</v>
      </c>
      <c r="M29" s="74">
        <f t="shared" si="86"/>
        <v>12</v>
      </c>
      <c r="N29" s="74">
        <f t="shared" si="86"/>
        <v>12</v>
      </c>
      <c r="O29" s="74">
        <f t="shared" si="86"/>
        <v>12</v>
      </c>
      <c r="P29" s="74">
        <f>+O29</f>
        <v>12</v>
      </c>
      <c r="Q29" s="74">
        <f>+O29</f>
        <v>12</v>
      </c>
      <c r="R29" s="74">
        <f>+Q29</f>
        <v>12</v>
      </c>
      <c r="S29" s="74">
        <f t="shared" ref="S29:AB29" si="87">+R29</f>
        <v>12</v>
      </c>
      <c r="T29" s="74">
        <f t="shared" si="87"/>
        <v>12</v>
      </c>
      <c r="U29" s="74">
        <f t="shared" si="87"/>
        <v>12</v>
      </c>
      <c r="V29" s="74">
        <f t="shared" si="87"/>
        <v>12</v>
      </c>
      <c r="W29" s="74">
        <f t="shared" si="87"/>
        <v>12</v>
      </c>
      <c r="X29" s="74">
        <f t="shared" si="87"/>
        <v>12</v>
      </c>
      <c r="Y29" s="74">
        <f t="shared" si="87"/>
        <v>12</v>
      </c>
      <c r="Z29" s="74">
        <f t="shared" si="87"/>
        <v>12</v>
      </c>
      <c r="AA29" s="74">
        <f t="shared" si="87"/>
        <v>12</v>
      </c>
      <c r="AB29" s="74">
        <f t="shared" si="87"/>
        <v>12</v>
      </c>
      <c r="AC29" s="74">
        <f>+AB29</f>
        <v>12</v>
      </c>
      <c r="AD29" s="74">
        <f>+AB29</f>
        <v>12</v>
      </c>
      <c r="AE29" s="74">
        <f>+AD29</f>
        <v>12</v>
      </c>
      <c r="AF29" s="74">
        <f t="shared" ref="AF29:AO29" si="88">+AE29</f>
        <v>12</v>
      </c>
      <c r="AG29" s="74">
        <f t="shared" si="88"/>
        <v>12</v>
      </c>
      <c r="AH29" s="74">
        <f t="shared" si="88"/>
        <v>12</v>
      </c>
      <c r="AI29" s="74">
        <f t="shared" si="88"/>
        <v>12</v>
      </c>
      <c r="AJ29" s="74">
        <f t="shared" si="88"/>
        <v>12</v>
      </c>
      <c r="AK29" s="74">
        <f t="shared" si="88"/>
        <v>12</v>
      </c>
      <c r="AL29" s="74">
        <f t="shared" si="88"/>
        <v>12</v>
      </c>
      <c r="AM29" s="74">
        <f t="shared" si="88"/>
        <v>12</v>
      </c>
      <c r="AN29" s="74">
        <f t="shared" si="88"/>
        <v>12</v>
      </c>
      <c r="AO29" s="74">
        <f t="shared" si="88"/>
        <v>12</v>
      </c>
      <c r="AP29" s="74">
        <f>+AO29</f>
        <v>12</v>
      </c>
      <c r="AQ29" s="255">
        <f>+AO29</f>
        <v>12</v>
      </c>
      <c r="AR29" s="74">
        <f t="shared" ref="AR29:BC29" si="89">+AQ29</f>
        <v>12</v>
      </c>
      <c r="AS29" s="74">
        <f t="shared" si="89"/>
        <v>12</v>
      </c>
      <c r="AT29" s="74">
        <f t="shared" si="89"/>
        <v>12</v>
      </c>
      <c r="AU29" s="74">
        <f t="shared" si="89"/>
        <v>12</v>
      </c>
      <c r="AV29" s="74">
        <f t="shared" si="89"/>
        <v>12</v>
      </c>
      <c r="AW29" s="74">
        <f t="shared" si="89"/>
        <v>12</v>
      </c>
      <c r="AX29" s="74">
        <f t="shared" si="89"/>
        <v>12</v>
      </c>
      <c r="AY29" s="74">
        <f t="shared" si="89"/>
        <v>12</v>
      </c>
      <c r="AZ29" s="74">
        <f t="shared" si="89"/>
        <v>12</v>
      </c>
      <c r="BA29" s="74">
        <f t="shared" si="89"/>
        <v>12</v>
      </c>
      <c r="BB29" s="74">
        <f t="shared" si="89"/>
        <v>12</v>
      </c>
      <c r="BC29" s="74">
        <f t="shared" si="89"/>
        <v>12</v>
      </c>
      <c r="BD29" s="255">
        <f>+BB29</f>
        <v>12</v>
      </c>
      <c r="BE29" s="74">
        <f t="shared" ref="BE29:BP29" si="90">+BD29</f>
        <v>12</v>
      </c>
      <c r="BF29" s="74">
        <f t="shared" si="90"/>
        <v>12</v>
      </c>
      <c r="BG29" s="74">
        <f t="shared" si="90"/>
        <v>12</v>
      </c>
      <c r="BH29" s="74">
        <f t="shared" si="90"/>
        <v>12</v>
      </c>
      <c r="BI29" s="74">
        <f t="shared" si="90"/>
        <v>12</v>
      </c>
      <c r="BJ29" s="74">
        <f t="shared" si="90"/>
        <v>12</v>
      </c>
      <c r="BK29" s="74">
        <f t="shared" si="90"/>
        <v>12</v>
      </c>
      <c r="BL29" s="74">
        <f t="shared" si="90"/>
        <v>12</v>
      </c>
      <c r="BM29" s="74">
        <f t="shared" si="90"/>
        <v>12</v>
      </c>
      <c r="BN29" s="74">
        <f t="shared" si="90"/>
        <v>12</v>
      </c>
      <c r="BO29" s="74">
        <f t="shared" si="90"/>
        <v>12</v>
      </c>
      <c r="BP29" s="76">
        <f t="shared" si="90"/>
        <v>12</v>
      </c>
    </row>
    <row r="30" spans="2:68" x14ac:dyDescent="0.25">
      <c r="B30" s="390"/>
      <c r="C30" s="111" t="s">
        <v>123</v>
      </c>
      <c r="D30" s="81">
        <f t="shared" ref="D30:O30" si="91">+D29*D27*D6</f>
        <v>360000</v>
      </c>
      <c r="E30" s="81">
        <f t="shared" si="91"/>
        <v>360000</v>
      </c>
      <c r="F30" s="81">
        <f t="shared" si="91"/>
        <v>360000</v>
      </c>
      <c r="G30" s="81">
        <f t="shared" si="91"/>
        <v>360000</v>
      </c>
      <c r="H30" s="81">
        <f t="shared" si="91"/>
        <v>360000</v>
      </c>
      <c r="I30" s="81">
        <f t="shared" si="91"/>
        <v>360000</v>
      </c>
      <c r="J30" s="81">
        <f t="shared" si="91"/>
        <v>720000</v>
      </c>
      <c r="K30" s="81">
        <f t="shared" si="91"/>
        <v>720000</v>
      </c>
      <c r="L30" s="81">
        <f t="shared" si="91"/>
        <v>720000</v>
      </c>
      <c r="M30" s="81">
        <f t="shared" si="91"/>
        <v>720000</v>
      </c>
      <c r="N30" s="81">
        <f t="shared" si="91"/>
        <v>720000</v>
      </c>
      <c r="O30" s="81">
        <f t="shared" si="91"/>
        <v>720000</v>
      </c>
      <c r="P30" s="81">
        <f>SUM(D30:O30)</f>
        <v>6480000</v>
      </c>
      <c r="Q30" s="81">
        <f t="shared" ref="Q30:AB30" si="92">+Q29*Q27*Q6</f>
        <v>748800</v>
      </c>
      <c r="R30" s="81">
        <f t="shared" si="92"/>
        <v>748800</v>
      </c>
      <c r="S30" s="81">
        <f t="shared" si="92"/>
        <v>748800</v>
      </c>
      <c r="T30" s="81">
        <f t="shared" si="92"/>
        <v>748800</v>
      </c>
      <c r="U30" s="81">
        <f t="shared" si="92"/>
        <v>748800</v>
      </c>
      <c r="V30" s="81">
        <f t="shared" si="92"/>
        <v>748800</v>
      </c>
      <c r="W30" s="81">
        <f t="shared" si="92"/>
        <v>1123200</v>
      </c>
      <c r="X30" s="81">
        <f t="shared" si="92"/>
        <v>1123200</v>
      </c>
      <c r="Y30" s="81">
        <f t="shared" si="92"/>
        <v>1123200</v>
      </c>
      <c r="Z30" s="81">
        <f t="shared" si="92"/>
        <v>1123200</v>
      </c>
      <c r="AA30" s="81">
        <f t="shared" si="92"/>
        <v>1123200</v>
      </c>
      <c r="AB30" s="81">
        <f t="shared" si="92"/>
        <v>1123200</v>
      </c>
      <c r="AC30" s="81">
        <f>SUM(Q30:AB30)</f>
        <v>11232000</v>
      </c>
      <c r="AD30" s="81">
        <f t="shared" ref="AD30:AO30" si="93">+AD29*AD27*AD6</f>
        <v>1168128</v>
      </c>
      <c r="AE30" s="81">
        <f t="shared" si="93"/>
        <v>1168128</v>
      </c>
      <c r="AF30" s="81">
        <f t="shared" si="93"/>
        <v>1168128</v>
      </c>
      <c r="AG30" s="81">
        <f t="shared" si="93"/>
        <v>1168128</v>
      </c>
      <c r="AH30" s="81">
        <f t="shared" si="93"/>
        <v>1168128</v>
      </c>
      <c r="AI30" s="81">
        <f t="shared" si="93"/>
        <v>1168128</v>
      </c>
      <c r="AJ30" s="81">
        <f t="shared" si="93"/>
        <v>1168128</v>
      </c>
      <c r="AK30" s="81">
        <f t="shared" si="93"/>
        <v>1168128</v>
      </c>
      <c r="AL30" s="81">
        <f t="shared" si="93"/>
        <v>1168128</v>
      </c>
      <c r="AM30" s="81">
        <f t="shared" si="93"/>
        <v>1168128</v>
      </c>
      <c r="AN30" s="81">
        <f t="shared" si="93"/>
        <v>1168128</v>
      </c>
      <c r="AO30" s="81">
        <f t="shared" si="93"/>
        <v>1168128</v>
      </c>
      <c r="AP30" s="81">
        <f>SUM(AD30:AO30)</f>
        <v>14017536</v>
      </c>
      <c r="AQ30" s="256">
        <f t="shared" ref="AQ30:BB30" si="94">+AQ29*AQ27*AQ6</f>
        <v>1168128</v>
      </c>
      <c r="AR30" s="81">
        <f t="shared" si="94"/>
        <v>1168128</v>
      </c>
      <c r="AS30" s="81">
        <f t="shared" si="94"/>
        <v>1168128</v>
      </c>
      <c r="AT30" s="81">
        <f t="shared" si="94"/>
        <v>1168128</v>
      </c>
      <c r="AU30" s="81">
        <f t="shared" si="94"/>
        <v>1168128</v>
      </c>
      <c r="AV30" s="81">
        <f t="shared" si="94"/>
        <v>1168128</v>
      </c>
      <c r="AW30" s="81">
        <f t="shared" si="94"/>
        <v>1168128</v>
      </c>
      <c r="AX30" s="81">
        <f t="shared" si="94"/>
        <v>1168128</v>
      </c>
      <c r="AY30" s="81">
        <f t="shared" si="94"/>
        <v>1168128</v>
      </c>
      <c r="AZ30" s="81">
        <f t="shared" si="94"/>
        <v>1168128</v>
      </c>
      <c r="BA30" s="81">
        <f t="shared" si="94"/>
        <v>1168128</v>
      </c>
      <c r="BB30" s="81">
        <f t="shared" si="94"/>
        <v>1168128</v>
      </c>
      <c r="BC30" s="81">
        <f>SUM(AQ30:BB30)</f>
        <v>14017536</v>
      </c>
      <c r="BD30" s="256">
        <f t="shared" ref="BD30:BO30" si="95">+BD29*BD27*BD6</f>
        <v>1168128</v>
      </c>
      <c r="BE30" s="81">
        <f t="shared" si="95"/>
        <v>1168128</v>
      </c>
      <c r="BF30" s="81">
        <f t="shared" si="95"/>
        <v>1168128</v>
      </c>
      <c r="BG30" s="81">
        <f t="shared" si="95"/>
        <v>1168128</v>
      </c>
      <c r="BH30" s="81">
        <f t="shared" si="95"/>
        <v>1168128</v>
      </c>
      <c r="BI30" s="81">
        <f t="shared" si="95"/>
        <v>1168128</v>
      </c>
      <c r="BJ30" s="81">
        <f t="shared" si="95"/>
        <v>1168128</v>
      </c>
      <c r="BK30" s="81">
        <f t="shared" si="95"/>
        <v>1168128</v>
      </c>
      <c r="BL30" s="81">
        <f t="shared" si="95"/>
        <v>1168128</v>
      </c>
      <c r="BM30" s="81">
        <f t="shared" si="95"/>
        <v>1168128</v>
      </c>
      <c r="BN30" s="81">
        <f t="shared" si="95"/>
        <v>1168128</v>
      </c>
      <c r="BO30" s="81">
        <f t="shared" si="95"/>
        <v>1168128</v>
      </c>
      <c r="BP30" s="101">
        <f>SUM(BD30:BO30)</f>
        <v>14017536</v>
      </c>
    </row>
    <row r="31" spans="2:68" x14ac:dyDescent="0.25">
      <c r="B31" s="390"/>
      <c r="C31" s="83" t="s">
        <v>124</v>
      </c>
      <c r="D31" s="102">
        <v>25000</v>
      </c>
      <c r="E31" s="74">
        <f t="shared" ref="E31:P31" si="96">+D31</f>
        <v>25000</v>
      </c>
      <c r="F31" s="74">
        <f t="shared" si="96"/>
        <v>25000</v>
      </c>
      <c r="G31" s="74">
        <f t="shared" si="96"/>
        <v>25000</v>
      </c>
      <c r="H31" s="74">
        <f t="shared" si="96"/>
        <v>25000</v>
      </c>
      <c r="I31" s="74">
        <f t="shared" si="96"/>
        <v>25000</v>
      </c>
      <c r="J31" s="74">
        <f t="shared" si="96"/>
        <v>25000</v>
      </c>
      <c r="K31" s="74">
        <f t="shared" si="96"/>
        <v>25000</v>
      </c>
      <c r="L31" s="74">
        <f t="shared" si="96"/>
        <v>25000</v>
      </c>
      <c r="M31" s="74">
        <f t="shared" si="96"/>
        <v>25000</v>
      </c>
      <c r="N31" s="74">
        <f t="shared" si="96"/>
        <v>25000</v>
      </c>
      <c r="O31" s="74">
        <f t="shared" si="96"/>
        <v>25000</v>
      </c>
      <c r="P31" s="75">
        <f t="shared" si="96"/>
        <v>25000</v>
      </c>
      <c r="Q31" s="75">
        <f>+O31*(1+O28)</f>
        <v>26000</v>
      </c>
      <c r="R31" s="75">
        <f t="shared" ref="R31:AC31" si="97">+Q31</f>
        <v>26000</v>
      </c>
      <c r="S31" s="75">
        <f t="shared" si="97"/>
        <v>26000</v>
      </c>
      <c r="T31" s="75">
        <f t="shared" si="97"/>
        <v>26000</v>
      </c>
      <c r="U31" s="75">
        <f t="shared" si="97"/>
        <v>26000</v>
      </c>
      <c r="V31" s="75">
        <f t="shared" si="97"/>
        <v>26000</v>
      </c>
      <c r="W31" s="75">
        <f t="shared" si="97"/>
        <v>26000</v>
      </c>
      <c r="X31" s="75">
        <f t="shared" si="97"/>
        <v>26000</v>
      </c>
      <c r="Y31" s="75">
        <f t="shared" si="97"/>
        <v>26000</v>
      </c>
      <c r="Z31" s="75">
        <f t="shared" si="97"/>
        <v>26000</v>
      </c>
      <c r="AA31" s="75">
        <f t="shared" si="97"/>
        <v>26000</v>
      </c>
      <c r="AB31" s="75">
        <f t="shared" si="97"/>
        <v>26000</v>
      </c>
      <c r="AC31" s="75">
        <f t="shared" si="97"/>
        <v>26000</v>
      </c>
      <c r="AD31" s="75">
        <f>+AB31*(1+AB28)</f>
        <v>27040</v>
      </c>
      <c r="AE31" s="75">
        <f t="shared" ref="AE31:AP31" si="98">+AD31</f>
        <v>27040</v>
      </c>
      <c r="AF31" s="75">
        <f t="shared" si="98"/>
        <v>27040</v>
      </c>
      <c r="AG31" s="75">
        <f t="shared" si="98"/>
        <v>27040</v>
      </c>
      <c r="AH31" s="75">
        <f t="shared" si="98"/>
        <v>27040</v>
      </c>
      <c r="AI31" s="75">
        <f t="shared" si="98"/>
        <v>27040</v>
      </c>
      <c r="AJ31" s="75">
        <f t="shared" si="98"/>
        <v>27040</v>
      </c>
      <c r="AK31" s="75">
        <f t="shared" si="98"/>
        <v>27040</v>
      </c>
      <c r="AL31" s="75">
        <f t="shared" si="98"/>
        <v>27040</v>
      </c>
      <c r="AM31" s="75">
        <f t="shared" si="98"/>
        <v>27040</v>
      </c>
      <c r="AN31" s="75">
        <f t="shared" si="98"/>
        <v>27040</v>
      </c>
      <c r="AO31" s="75">
        <f t="shared" si="98"/>
        <v>27040</v>
      </c>
      <c r="AP31" s="75">
        <f t="shared" si="98"/>
        <v>27040</v>
      </c>
      <c r="AQ31" s="254">
        <f>+AO31*(1+AO28)</f>
        <v>27040</v>
      </c>
      <c r="AR31" s="75">
        <f t="shared" ref="AR31:BC31" si="99">+AQ31</f>
        <v>27040</v>
      </c>
      <c r="AS31" s="75">
        <f t="shared" si="99"/>
        <v>27040</v>
      </c>
      <c r="AT31" s="75">
        <f t="shared" si="99"/>
        <v>27040</v>
      </c>
      <c r="AU31" s="75">
        <f t="shared" si="99"/>
        <v>27040</v>
      </c>
      <c r="AV31" s="75">
        <f t="shared" si="99"/>
        <v>27040</v>
      </c>
      <c r="AW31" s="75">
        <f t="shared" si="99"/>
        <v>27040</v>
      </c>
      <c r="AX31" s="75">
        <f t="shared" si="99"/>
        <v>27040</v>
      </c>
      <c r="AY31" s="75">
        <f t="shared" si="99"/>
        <v>27040</v>
      </c>
      <c r="AZ31" s="75">
        <f t="shared" si="99"/>
        <v>27040</v>
      </c>
      <c r="BA31" s="75">
        <f t="shared" si="99"/>
        <v>27040</v>
      </c>
      <c r="BB31" s="75">
        <f t="shared" si="99"/>
        <v>27040</v>
      </c>
      <c r="BC31" s="75">
        <f t="shared" si="99"/>
        <v>27040</v>
      </c>
      <c r="BD31" s="254">
        <f>+BB31*(1+BB28)</f>
        <v>27040</v>
      </c>
      <c r="BE31" s="75">
        <f t="shared" ref="BE31:BP31" si="100">+BD31</f>
        <v>27040</v>
      </c>
      <c r="BF31" s="75">
        <f t="shared" si="100"/>
        <v>27040</v>
      </c>
      <c r="BG31" s="75">
        <f t="shared" si="100"/>
        <v>27040</v>
      </c>
      <c r="BH31" s="75">
        <f t="shared" si="100"/>
        <v>27040</v>
      </c>
      <c r="BI31" s="75">
        <f t="shared" si="100"/>
        <v>27040</v>
      </c>
      <c r="BJ31" s="75">
        <f t="shared" si="100"/>
        <v>27040</v>
      </c>
      <c r="BK31" s="75">
        <f t="shared" si="100"/>
        <v>27040</v>
      </c>
      <c r="BL31" s="75">
        <f t="shared" si="100"/>
        <v>27040</v>
      </c>
      <c r="BM31" s="75">
        <f t="shared" si="100"/>
        <v>27040</v>
      </c>
      <c r="BN31" s="75">
        <f t="shared" si="100"/>
        <v>27040</v>
      </c>
      <c r="BO31" s="75">
        <f t="shared" si="100"/>
        <v>27040</v>
      </c>
      <c r="BP31" s="82">
        <f t="shared" si="100"/>
        <v>27040</v>
      </c>
    </row>
    <row r="32" spans="2:68" x14ac:dyDescent="0.25">
      <c r="B32" s="390"/>
      <c r="C32" s="83" t="s">
        <v>125</v>
      </c>
      <c r="D32" s="105">
        <v>1</v>
      </c>
      <c r="E32" s="74">
        <f t="shared" ref="E32:P32" si="101">+D32</f>
        <v>1</v>
      </c>
      <c r="F32" s="74">
        <f t="shared" si="101"/>
        <v>1</v>
      </c>
      <c r="G32" s="74">
        <f t="shared" si="101"/>
        <v>1</v>
      </c>
      <c r="H32" s="74">
        <f t="shared" si="101"/>
        <v>1</v>
      </c>
      <c r="I32" s="74">
        <f t="shared" si="101"/>
        <v>1</v>
      </c>
      <c r="J32" s="74">
        <f t="shared" si="101"/>
        <v>1</v>
      </c>
      <c r="K32" s="74">
        <f t="shared" si="101"/>
        <v>1</v>
      </c>
      <c r="L32" s="74">
        <f t="shared" si="101"/>
        <v>1</v>
      </c>
      <c r="M32" s="74">
        <f t="shared" si="101"/>
        <v>1</v>
      </c>
      <c r="N32" s="74">
        <f t="shared" si="101"/>
        <v>1</v>
      </c>
      <c r="O32" s="74">
        <f t="shared" si="101"/>
        <v>1</v>
      </c>
      <c r="P32" s="74">
        <f t="shared" si="101"/>
        <v>1</v>
      </c>
      <c r="Q32" s="74">
        <f>+O32</f>
        <v>1</v>
      </c>
      <c r="R32" s="74">
        <f t="shared" ref="R32:AC32" si="102">+Q32</f>
        <v>1</v>
      </c>
      <c r="S32" s="74">
        <f t="shared" si="102"/>
        <v>1</v>
      </c>
      <c r="T32" s="74">
        <f t="shared" si="102"/>
        <v>1</v>
      </c>
      <c r="U32" s="74">
        <f t="shared" si="102"/>
        <v>1</v>
      </c>
      <c r="V32" s="74">
        <f t="shared" si="102"/>
        <v>1</v>
      </c>
      <c r="W32" s="74">
        <f t="shared" si="102"/>
        <v>1</v>
      </c>
      <c r="X32" s="74">
        <f t="shared" si="102"/>
        <v>1</v>
      </c>
      <c r="Y32" s="74">
        <f t="shared" si="102"/>
        <v>1</v>
      </c>
      <c r="Z32" s="74">
        <f t="shared" si="102"/>
        <v>1</v>
      </c>
      <c r="AA32" s="74">
        <f t="shared" si="102"/>
        <v>1</v>
      </c>
      <c r="AB32" s="74">
        <f t="shared" si="102"/>
        <v>1</v>
      </c>
      <c r="AC32" s="74">
        <f t="shared" si="102"/>
        <v>1</v>
      </c>
      <c r="AD32" s="74">
        <f>+AB32</f>
        <v>1</v>
      </c>
      <c r="AE32" s="74">
        <f t="shared" ref="AE32:AP32" si="103">+AD32</f>
        <v>1</v>
      </c>
      <c r="AF32" s="74">
        <f t="shared" si="103"/>
        <v>1</v>
      </c>
      <c r="AG32" s="74">
        <f t="shared" si="103"/>
        <v>1</v>
      </c>
      <c r="AH32" s="74">
        <f t="shared" si="103"/>
        <v>1</v>
      </c>
      <c r="AI32" s="74">
        <f t="shared" si="103"/>
        <v>1</v>
      </c>
      <c r="AJ32" s="74">
        <f t="shared" si="103"/>
        <v>1</v>
      </c>
      <c r="AK32" s="74">
        <f t="shared" si="103"/>
        <v>1</v>
      </c>
      <c r="AL32" s="74">
        <f t="shared" si="103"/>
        <v>1</v>
      </c>
      <c r="AM32" s="74">
        <f t="shared" si="103"/>
        <v>1</v>
      </c>
      <c r="AN32" s="74">
        <f t="shared" si="103"/>
        <v>1</v>
      </c>
      <c r="AO32" s="74">
        <f t="shared" si="103"/>
        <v>1</v>
      </c>
      <c r="AP32" s="74">
        <f t="shared" si="103"/>
        <v>1</v>
      </c>
      <c r="AQ32" s="255">
        <f>+AO32</f>
        <v>1</v>
      </c>
      <c r="AR32" s="74">
        <f t="shared" ref="AR32:BC32" si="104">+AQ32</f>
        <v>1</v>
      </c>
      <c r="AS32" s="74">
        <f t="shared" si="104"/>
        <v>1</v>
      </c>
      <c r="AT32" s="74">
        <f t="shared" si="104"/>
        <v>1</v>
      </c>
      <c r="AU32" s="74">
        <f t="shared" si="104"/>
        <v>1</v>
      </c>
      <c r="AV32" s="74">
        <f t="shared" si="104"/>
        <v>1</v>
      </c>
      <c r="AW32" s="74">
        <f t="shared" si="104"/>
        <v>1</v>
      </c>
      <c r="AX32" s="74">
        <f t="shared" si="104"/>
        <v>1</v>
      </c>
      <c r="AY32" s="74">
        <f t="shared" si="104"/>
        <v>1</v>
      </c>
      <c r="AZ32" s="74">
        <f t="shared" si="104"/>
        <v>1</v>
      </c>
      <c r="BA32" s="74">
        <f t="shared" si="104"/>
        <v>1</v>
      </c>
      <c r="BB32" s="74">
        <f t="shared" si="104"/>
        <v>1</v>
      </c>
      <c r="BC32" s="74">
        <f t="shared" si="104"/>
        <v>1</v>
      </c>
      <c r="BD32" s="255">
        <f>+BB32</f>
        <v>1</v>
      </c>
      <c r="BE32" s="74">
        <f t="shared" ref="BE32:BP32" si="105">+BD32</f>
        <v>1</v>
      </c>
      <c r="BF32" s="74">
        <f t="shared" si="105"/>
        <v>1</v>
      </c>
      <c r="BG32" s="74">
        <f t="shared" si="105"/>
        <v>1</v>
      </c>
      <c r="BH32" s="74">
        <f t="shared" si="105"/>
        <v>1</v>
      </c>
      <c r="BI32" s="74">
        <f t="shared" si="105"/>
        <v>1</v>
      </c>
      <c r="BJ32" s="74">
        <f t="shared" si="105"/>
        <v>1</v>
      </c>
      <c r="BK32" s="74">
        <f t="shared" si="105"/>
        <v>1</v>
      </c>
      <c r="BL32" s="74">
        <f t="shared" si="105"/>
        <v>1</v>
      </c>
      <c r="BM32" s="74">
        <f t="shared" si="105"/>
        <v>1</v>
      </c>
      <c r="BN32" s="74">
        <f t="shared" si="105"/>
        <v>1</v>
      </c>
      <c r="BO32" s="74">
        <f t="shared" si="105"/>
        <v>1</v>
      </c>
      <c r="BP32" s="76">
        <f t="shared" si="105"/>
        <v>1</v>
      </c>
    </row>
    <row r="33" spans="2:68" x14ac:dyDescent="0.25">
      <c r="B33" s="390"/>
      <c r="C33" s="111" t="s">
        <v>122</v>
      </c>
      <c r="D33" s="81">
        <f t="shared" ref="D33:O33" si="106">+D31*D32*D6</f>
        <v>50000</v>
      </c>
      <c r="E33" s="81">
        <f t="shared" si="106"/>
        <v>50000</v>
      </c>
      <c r="F33" s="81">
        <f t="shared" si="106"/>
        <v>50000</v>
      </c>
      <c r="G33" s="81">
        <f t="shared" si="106"/>
        <v>50000</v>
      </c>
      <c r="H33" s="81">
        <f t="shared" si="106"/>
        <v>50000</v>
      </c>
      <c r="I33" s="81">
        <f t="shared" si="106"/>
        <v>50000</v>
      </c>
      <c r="J33" s="81">
        <f t="shared" si="106"/>
        <v>100000</v>
      </c>
      <c r="K33" s="81">
        <f t="shared" si="106"/>
        <v>100000</v>
      </c>
      <c r="L33" s="81">
        <f t="shared" si="106"/>
        <v>100000</v>
      </c>
      <c r="M33" s="81">
        <f t="shared" si="106"/>
        <v>100000</v>
      </c>
      <c r="N33" s="81">
        <f t="shared" si="106"/>
        <v>100000</v>
      </c>
      <c r="O33" s="81">
        <f t="shared" si="106"/>
        <v>100000</v>
      </c>
      <c r="P33" s="81">
        <f>SUM(D33:O33)</f>
        <v>900000</v>
      </c>
      <c r="Q33" s="81">
        <f t="shared" ref="Q33:AB33" si="107">+Q31*Q32*Q6</f>
        <v>104000</v>
      </c>
      <c r="R33" s="81">
        <f t="shared" si="107"/>
        <v>104000</v>
      </c>
      <c r="S33" s="81">
        <f t="shared" si="107"/>
        <v>104000</v>
      </c>
      <c r="T33" s="81">
        <f t="shared" si="107"/>
        <v>104000</v>
      </c>
      <c r="U33" s="81">
        <f t="shared" si="107"/>
        <v>104000</v>
      </c>
      <c r="V33" s="81">
        <f t="shared" si="107"/>
        <v>104000</v>
      </c>
      <c r="W33" s="81">
        <f t="shared" si="107"/>
        <v>156000</v>
      </c>
      <c r="X33" s="81">
        <f t="shared" si="107"/>
        <v>156000</v>
      </c>
      <c r="Y33" s="81">
        <f t="shared" si="107"/>
        <v>156000</v>
      </c>
      <c r="Z33" s="81">
        <f t="shared" si="107"/>
        <v>156000</v>
      </c>
      <c r="AA33" s="81">
        <f t="shared" si="107"/>
        <v>156000</v>
      </c>
      <c r="AB33" s="81">
        <f t="shared" si="107"/>
        <v>156000</v>
      </c>
      <c r="AC33" s="81">
        <f>SUM(Q33:AB33)</f>
        <v>1560000</v>
      </c>
      <c r="AD33" s="81">
        <f t="shared" ref="AD33:AO33" si="108">+AD31*AD32*AD6</f>
        <v>162240</v>
      </c>
      <c r="AE33" s="81">
        <f t="shared" si="108"/>
        <v>162240</v>
      </c>
      <c r="AF33" s="81">
        <f t="shared" si="108"/>
        <v>162240</v>
      </c>
      <c r="AG33" s="81">
        <f t="shared" si="108"/>
        <v>162240</v>
      </c>
      <c r="AH33" s="81">
        <f t="shared" si="108"/>
        <v>162240</v>
      </c>
      <c r="AI33" s="81">
        <f t="shared" si="108"/>
        <v>162240</v>
      </c>
      <c r="AJ33" s="81">
        <f t="shared" si="108"/>
        <v>162240</v>
      </c>
      <c r="AK33" s="81">
        <f t="shared" si="108"/>
        <v>162240</v>
      </c>
      <c r="AL33" s="81">
        <f t="shared" si="108"/>
        <v>162240</v>
      </c>
      <c r="AM33" s="81">
        <f t="shared" si="108"/>
        <v>162240</v>
      </c>
      <c r="AN33" s="81">
        <f t="shared" si="108"/>
        <v>162240</v>
      </c>
      <c r="AO33" s="81">
        <f t="shared" si="108"/>
        <v>162240</v>
      </c>
      <c r="AP33" s="81">
        <f>SUM(AD33:AO33)</f>
        <v>1946880</v>
      </c>
      <c r="AQ33" s="256">
        <f t="shared" ref="AQ33:BB33" si="109">+AQ31*AQ32*AQ6</f>
        <v>162240</v>
      </c>
      <c r="AR33" s="81">
        <f t="shared" si="109"/>
        <v>162240</v>
      </c>
      <c r="AS33" s="81">
        <f t="shared" si="109"/>
        <v>162240</v>
      </c>
      <c r="AT33" s="81">
        <f t="shared" si="109"/>
        <v>162240</v>
      </c>
      <c r="AU33" s="81">
        <f t="shared" si="109"/>
        <v>162240</v>
      </c>
      <c r="AV33" s="81">
        <f t="shared" si="109"/>
        <v>162240</v>
      </c>
      <c r="AW33" s="81">
        <f t="shared" si="109"/>
        <v>162240</v>
      </c>
      <c r="AX33" s="81">
        <f t="shared" si="109"/>
        <v>162240</v>
      </c>
      <c r="AY33" s="81">
        <f t="shared" si="109"/>
        <v>162240</v>
      </c>
      <c r="AZ33" s="81">
        <f t="shared" si="109"/>
        <v>162240</v>
      </c>
      <c r="BA33" s="81">
        <f t="shared" si="109"/>
        <v>162240</v>
      </c>
      <c r="BB33" s="81">
        <f t="shared" si="109"/>
        <v>162240</v>
      </c>
      <c r="BC33" s="81">
        <f>SUM(AQ33:BB33)</f>
        <v>1946880</v>
      </c>
      <c r="BD33" s="256">
        <f t="shared" ref="BD33:BO33" si="110">+BD31*BD32*BD6</f>
        <v>162240</v>
      </c>
      <c r="BE33" s="81">
        <f t="shared" si="110"/>
        <v>162240</v>
      </c>
      <c r="BF33" s="81">
        <f t="shared" si="110"/>
        <v>162240</v>
      </c>
      <c r="BG33" s="81">
        <f t="shared" si="110"/>
        <v>162240</v>
      </c>
      <c r="BH33" s="81">
        <f t="shared" si="110"/>
        <v>162240</v>
      </c>
      <c r="BI33" s="81">
        <f t="shared" si="110"/>
        <v>162240</v>
      </c>
      <c r="BJ33" s="81">
        <f t="shared" si="110"/>
        <v>162240</v>
      </c>
      <c r="BK33" s="81">
        <f t="shared" si="110"/>
        <v>162240</v>
      </c>
      <c r="BL33" s="81">
        <f t="shared" si="110"/>
        <v>162240</v>
      </c>
      <c r="BM33" s="81">
        <f t="shared" si="110"/>
        <v>162240</v>
      </c>
      <c r="BN33" s="81">
        <f t="shared" si="110"/>
        <v>162240</v>
      </c>
      <c r="BO33" s="81">
        <f t="shared" si="110"/>
        <v>162240</v>
      </c>
      <c r="BP33" s="101">
        <f>SUM(BD33:BO33)</f>
        <v>1946880</v>
      </c>
    </row>
    <row r="34" spans="2:68" x14ac:dyDescent="0.25">
      <c r="B34" s="390"/>
      <c r="C34" s="83" t="s">
        <v>244</v>
      </c>
      <c r="D34" s="102">
        <v>57000</v>
      </c>
      <c r="E34" s="74">
        <f>+D34</f>
        <v>57000</v>
      </c>
      <c r="F34" s="74">
        <f t="shared" ref="F34:O34" si="111">+E34</f>
        <v>57000</v>
      </c>
      <c r="G34" s="74">
        <f t="shared" si="111"/>
        <v>57000</v>
      </c>
      <c r="H34" s="74">
        <f t="shared" si="111"/>
        <v>57000</v>
      </c>
      <c r="I34" s="74">
        <f t="shared" si="111"/>
        <v>57000</v>
      </c>
      <c r="J34" s="74">
        <f t="shared" si="111"/>
        <v>57000</v>
      </c>
      <c r="K34" s="74">
        <f t="shared" si="111"/>
        <v>57000</v>
      </c>
      <c r="L34" s="74">
        <f t="shared" si="111"/>
        <v>57000</v>
      </c>
      <c r="M34" s="74">
        <f t="shared" si="111"/>
        <v>57000</v>
      </c>
      <c r="N34" s="74">
        <f t="shared" si="111"/>
        <v>57000</v>
      </c>
      <c r="O34" s="74">
        <f t="shared" si="111"/>
        <v>57000</v>
      </c>
      <c r="P34" s="75">
        <f>+O34</f>
        <v>57000</v>
      </c>
      <c r="Q34" s="75">
        <f>ROUND(+O34*(1+O35),0)</f>
        <v>59280</v>
      </c>
      <c r="R34" s="75">
        <f>+Q34</f>
        <v>59280</v>
      </c>
      <c r="S34" s="75">
        <f t="shared" ref="S34:AB34" si="112">+R34</f>
        <v>59280</v>
      </c>
      <c r="T34" s="75">
        <f t="shared" si="112"/>
        <v>59280</v>
      </c>
      <c r="U34" s="75">
        <f t="shared" si="112"/>
        <v>59280</v>
      </c>
      <c r="V34" s="75">
        <f t="shared" si="112"/>
        <v>59280</v>
      </c>
      <c r="W34" s="75">
        <f t="shared" si="112"/>
        <v>59280</v>
      </c>
      <c r="X34" s="75">
        <f t="shared" si="112"/>
        <v>59280</v>
      </c>
      <c r="Y34" s="75">
        <f t="shared" si="112"/>
        <v>59280</v>
      </c>
      <c r="Z34" s="75">
        <f t="shared" si="112"/>
        <v>59280</v>
      </c>
      <c r="AA34" s="75">
        <f t="shared" si="112"/>
        <v>59280</v>
      </c>
      <c r="AB34" s="75">
        <f t="shared" si="112"/>
        <v>59280</v>
      </c>
      <c r="AC34" s="75">
        <f>+AB34</f>
        <v>59280</v>
      </c>
      <c r="AD34" s="75">
        <f>ROUND(+AB34*(1+AB35),0)</f>
        <v>61651</v>
      </c>
      <c r="AE34" s="75">
        <f>+AD34</f>
        <v>61651</v>
      </c>
      <c r="AF34" s="75">
        <f t="shared" ref="AF34:AO34" si="113">+AE34</f>
        <v>61651</v>
      </c>
      <c r="AG34" s="75">
        <f t="shared" si="113"/>
        <v>61651</v>
      </c>
      <c r="AH34" s="75">
        <f t="shared" si="113"/>
        <v>61651</v>
      </c>
      <c r="AI34" s="75">
        <f t="shared" si="113"/>
        <v>61651</v>
      </c>
      <c r="AJ34" s="75">
        <f t="shared" si="113"/>
        <v>61651</v>
      </c>
      <c r="AK34" s="75">
        <f t="shared" si="113"/>
        <v>61651</v>
      </c>
      <c r="AL34" s="75">
        <f t="shared" si="113"/>
        <v>61651</v>
      </c>
      <c r="AM34" s="75">
        <f t="shared" si="113"/>
        <v>61651</v>
      </c>
      <c r="AN34" s="75">
        <f t="shared" si="113"/>
        <v>61651</v>
      </c>
      <c r="AO34" s="75">
        <f t="shared" si="113"/>
        <v>61651</v>
      </c>
      <c r="AP34" s="75">
        <f>+AO34</f>
        <v>61651</v>
      </c>
      <c r="AQ34" s="254">
        <f>ROUND(+AO34*(1+AO35),0)</f>
        <v>61651</v>
      </c>
      <c r="AR34" s="75">
        <f t="shared" ref="AR34:BC34" si="114">+AQ34</f>
        <v>61651</v>
      </c>
      <c r="AS34" s="75">
        <f t="shared" si="114"/>
        <v>61651</v>
      </c>
      <c r="AT34" s="75">
        <f t="shared" si="114"/>
        <v>61651</v>
      </c>
      <c r="AU34" s="75">
        <f t="shared" si="114"/>
        <v>61651</v>
      </c>
      <c r="AV34" s="75">
        <f t="shared" si="114"/>
        <v>61651</v>
      </c>
      <c r="AW34" s="75">
        <f t="shared" si="114"/>
        <v>61651</v>
      </c>
      <c r="AX34" s="75">
        <f t="shared" si="114"/>
        <v>61651</v>
      </c>
      <c r="AY34" s="75">
        <f t="shared" si="114"/>
        <v>61651</v>
      </c>
      <c r="AZ34" s="75">
        <f t="shared" si="114"/>
        <v>61651</v>
      </c>
      <c r="BA34" s="75">
        <f t="shared" si="114"/>
        <v>61651</v>
      </c>
      <c r="BB34" s="75">
        <f t="shared" si="114"/>
        <v>61651</v>
      </c>
      <c r="BC34" s="75">
        <f t="shared" si="114"/>
        <v>61651</v>
      </c>
      <c r="BD34" s="254">
        <f>ROUND(+BB34*(1+BB35),0)</f>
        <v>61651</v>
      </c>
      <c r="BE34" s="75">
        <f t="shared" ref="BE34:BP34" si="115">+BD34</f>
        <v>61651</v>
      </c>
      <c r="BF34" s="75">
        <f t="shared" si="115"/>
        <v>61651</v>
      </c>
      <c r="BG34" s="75">
        <f t="shared" si="115"/>
        <v>61651</v>
      </c>
      <c r="BH34" s="75">
        <f t="shared" si="115"/>
        <v>61651</v>
      </c>
      <c r="BI34" s="75">
        <f t="shared" si="115"/>
        <v>61651</v>
      </c>
      <c r="BJ34" s="75">
        <f t="shared" si="115"/>
        <v>61651</v>
      </c>
      <c r="BK34" s="75">
        <f t="shared" si="115"/>
        <v>61651</v>
      </c>
      <c r="BL34" s="75">
        <f t="shared" si="115"/>
        <v>61651</v>
      </c>
      <c r="BM34" s="75">
        <f t="shared" si="115"/>
        <v>61651</v>
      </c>
      <c r="BN34" s="75">
        <f t="shared" si="115"/>
        <v>61651</v>
      </c>
      <c r="BO34" s="75">
        <f t="shared" si="115"/>
        <v>61651</v>
      </c>
      <c r="BP34" s="82">
        <f t="shared" si="115"/>
        <v>61651</v>
      </c>
    </row>
    <row r="35" spans="2:68" x14ac:dyDescent="0.25">
      <c r="B35" s="390"/>
      <c r="C35" s="58" t="s">
        <v>195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77">
        <v>0.04</v>
      </c>
      <c r="P35" s="78">
        <f>+O35</f>
        <v>0.04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77">
        <v>0.04</v>
      </c>
      <c r="AC35" s="78">
        <f>+AB35</f>
        <v>0.04</v>
      </c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19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19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63"/>
    </row>
    <row r="36" spans="2:68" x14ac:dyDescent="0.25">
      <c r="B36" s="390"/>
      <c r="C36" s="83" t="s">
        <v>118</v>
      </c>
      <c r="D36" s="102">
        <v>2</v>
      </c>
      <c r="E36" s="74">
        <f>+D36</f>
        <v>2</v>
      </c>
      <c r="F36" s="74">
        <f t="shared" ref="F36:O36" si="116">+E36</f>
        <v>2</v>
      </c>
      <c r="G36" s="74">
        <f t="shared" si="116"/>
        <v>2</v>
      </c>
      <c r="H36" s="74">
        <f t="shared" si="116"/>
        <v>2</v>
      </c>
      <c r="I36" s="74">
        <f t="shared" si="116"/>
        <v>2</v>
      </c>
      <c r="J36" s="74">
        <f t="shared" si="116"/>
        <v>2</v>
      </c>
      <c r="K36" s="74">
        <f t="shared" si="116"/>
        <v>2</v>
      </c>
      <c r="L36" s="74">
        <f t="shared" si="116"/>
        <v>2</v>
      </c>
      <c r="M36" s="74">
        <f t="shared" si="116"/>
        <v>2</v>
      </c>
      <c r="N36" s="74">
        <f t="shared" si="116"/>
        <v>2</v>
      </c>
      <c r="O36" s="74">
        <f t="shared" si="116"/>
        <v>2</v>
      </c>
      <c r="P36" s="74">
        <f>+O36</f>
        <v>2</v>
      </c>
      <c r="Q36" s="74">
        <f>+O36</f>
        <v>2</v>
      </c>
      <c r="R36" s="74">
        <f>+Q36</f>
        <v>2</v>
      </c>
      <c r="S36" s="74">
        <f t="shared" ref="S36:AB36" si="117">+R36</f>
        <v>2</v>
      </c>
      <c r="T36" s="74">
        <f t="shared" si="117"/>
        <v>2</v>
      </c>
      <c r="U36" s="74">
        <f t="shared" si="117"/>
        <v>2</v>
      </c>
      <c r="V36" s="74">
        <f t="shared" si="117"/>
        <v>2</v>
      </c>
      <c r="W36" s="74">
        <f t="shared" si="117"/>
        <v>2</v>
      </c>
      <c r="X36" s="74">
        <f t="shared" si="117"/>
        <v>2</v>
      </c>
      <c r="Y36" s="74">
        <f t="shared" si="117"/>
        <v>2</v>
      </c>
      <c r="Z36" s="74">
        <f t="shared" si="117"/>
        <v>2</v>
      </c>
      <c r="AA36" s="74">
        <f t="shared" si="117"/>
        <v>2</v>
      </c>
      <c r="AB36" s="74">
        <f t="shared" si="117"/>
        <v>2</v>
      </c>
      <c r="AC36" s="74">
        <f>+AB36</f>
        <v>2</v>
      </c>
      <c r="AD36" s="74">
        <f>+AB36</f>
        <v>2</v>
      </c>
      <c r="AE36" s="74">
        <f>+AD36</f>
        <v>2</v>
      </c>
      <c r="AF36" s="74">
        <f t="shared" ref="AF36:AO36" si="118">+AE36</f>
        <v>2</v>
      </c>
      <c r="AG36" s="74">
        <f t="shared" si="118"/>
        <v>2</v>
      </c>
      <c r="AH36" s="74">
        <f t="shared" si="118"/>
        <v>2</v>
      </c>
      <c r="AI36" s="74">
        <f t="shared" si="118"/>
        <v>2</v>
      </c>
      <c r="AJ36" s="74">
        <f t="shared" si="118"/>
        <v>2</v>
      </c>
      <c r="AK36" s="74">
        <f t="shared" si="118"/>
        <v>2</v>
      </c>
      <c r="AL36" s="74">
        <f t="shared" si="118"/>
        <v>2</v>
      </c>
      <c r="AM36" s="74">
        <f t="shared" si="118"/>
        <v>2</v>
      </c>
      <c r="AN36" s="74">
        <f t="shared" si="118"/>
        <v>2</v>
      </c>
      <c r="AO36" s="74">
        <f t="shared" si="118"/>
        <v>2</v>
      </c>
      <c r="AP36" s="74">
        <f>+AO36</f>
        <v>2</v>
      </c>
      <c r="AQ36" s="255">
        <f>+AO36</f>
        <v>2</v>
      </c>
      <c r="AR36" s="74">
        <f t="shared" ref="AR36:BC36" si="119">+AQ36</f>
        <v>2</v>
      </c>
      <c r="AS36" s="74">
        <f t="shared" si="119"/>
        <v>2</v>
      </c>
      <c r="AT36" s="74">
        <f t="shared" si="119"/>
        <v>2</v>
      </c>
      <c r="AU36" s="74">
        <f t="shared" si="119"/>
        <v>2</v>
      </c>
      <c r="AV36" s="74">
        <f t="shared" si="119"/>
        <v>2</v>
      </c>
      <c r="AW36" s="74">
        <f t="shared" si="119"/>
        <v>2</v>
      </c>
      <c r="AX36" s="74">
        <f t="shared" si="119"/>
        <v>2</v>
      </c>
      <c r="AY36" s="74">
        <f t="shared" si="119"/>
        <v>2</v>
      </c>
      <c r="AZ36" s="74">
        <f t="shared" si="119"/>
        <v>2</v>
      </c>
      <c r="BA36" s="74">
        <f t="shared" si="119"/>
        <v>2</v>
      </c>
      <c r="BB36" s="74">
        <f t="shared" si="119"/>
        <v>2</v>
      </c>
      <c r="BC36" s="74">
        <f t="shared" si="119"/>
        <v>2</v>
      </c>
      <c r="BD36" s="255">
        <f>+BB36</f>
        <v>2</v>
      </c>
      <c r="BE36" s="74">
        <f t="shared" ref="BE36:BP36" si="120">+BD36</f>
        <v>2</v>
      </c>
      <c r="BF36" s="74">
        <f t="shared" si="120"/>
        <v>2</v>
      </c>
      <c r="BG36" s="74">
        <f t="shared" si="120"/>
        <v>2</v>
      </c>
      <c r="BH36" s="74">
        <f t="shared" si="120"/>
        <v>2</v>
      </c>
      <c r="BI36" s="74">
        <f t="shared" si="120"/>
        <v>2</v>
      </c>
      <c r="BJ36" s="74">
        <f t="shared" si="120"/>
        <v>2</v>
      </c>
      <c r="BK36" s="74">
        <f t="shared" si="120"/>
        <v>2</v>
      </c>
      <c r="BL36" s="74">
        <f t="shared" si="120"/>
        <v>2</v>
      </c>
      <c r="BM36" s="74">
        <f t="shared" si="120"/>
        <v>2</v>
      </c>
      <c r="BN36" s="74">
        <f t="shared" si="120"/>
        <v>2</v>
      </c>
      <c r="BO36" s="74">
        <f t="shared" si="120"/>
        <v>2</v>
      </c>
      <c r="BP36" s="76">
        <f t="shared" si="120"/>
        <v>2</v>
      </c>
    </row>
    <row r="37" spans="2:68" x14ac:dyDescent="0.25">
      <c r="B37" s="390"/>
      <c r="C37" s="83" t="s">
        <v>131</v>
      </c>
      <c r="D37" s="74">
        <f t="shared" ref="D37:O37" si="121">IF(C38&lt;&gt;0,D24,C37+D24)</f>
        <v>10000</v>
      </c>
      <c r="E37" s="74">
        <f t="shared" si="121"/>
        <v>10000</v>
      </c>
      <c r="F37" s="74">
        <f t="shared" si="121"/>
        <v>10000</v>
      </c>
      <c r="G37" s="74">
        <f t="shared" si="121"/>
        <v>10000</v>
      </c>
      <c r="H37" s="74">
        <f t="shared" si="121"/>
        <v>10000</v>
      </c>
      <c r="I37" s="74">
        <f t="shared" si="121"/>
        <v>10000</v>
      </c>
      <c r="J37" s="74">
        <f t="shared" si="121"/>
        <v>20000</v>
      </c>
      <c r="K37" s="74">
        <f t="shared" si="121"/>
        <v>20000</v>
      </c>
      <c r="L37" s="74">
        <f t="shared" si="121"/>
        <v>20000</v>
      </c>
      <c r="M37" s="74">
        <f t="shared" si="121"/>
        <v>20000</v>
      </c>
      <c r="N37" s="74">
        <f t="shared" si="121"/>
        <v>20000</v>
      </c>
      <c r="O37" s="74">
        <f t="shared" si="121"/>
        <v>20000</v>
      </c>
      <c r="P37" s="74">
        <f>+O37</f>
        <v>20000</v>
      </c>
      <c r="Q37" s="74">
        <f>IF(O38&lt;&gt;0,Q24,O37+Q24)</f>
        <v>20000</v>
      </c>
      <c r="R37" s="74">
        <f t="shared" ref="R37:AB37" si="122">IF(Q38&lt;&gt;0,R24,Q37+R24)</f>
        <v>20000</v>
      </c>
      <c r="S37" s="74">
        <f t="shared" si="122"/>
        <v>20000</v>
      </c>
      <c r="T37" s="74">
        <f t="shared" si="122"/>
        <v>20000</v>
      </c>
      <c r="U37" s="74">
        <f t="shared" si="122"/>
        <v>20000</v>
      </c>
      <c r="V37" s="74">
        <f t="shared" si="122"/>
        <v>20000</v>
      </c>
      <c r="W37" s="74">
        <f t="shared" si="122"/>
        <v>30000</v>
      </c>
      <c r="X37" s="74">
        <f t="shared" si="122"/>
        <v>30000</v>
      </c>
      <c r="Y37" s="74">
        <f t="shared" si="122"/>
        <v>30000</v>
      </c>
      <c r="Z37" s="74">
        <f t="shared" si="122"/>
        <v>30000</v>
      </c>
      <c r="AA37" s="74">
        <f t="shared" si="122"/>
        <v>30000</v>
      </c>
      <c r="AB37" s="74">
        <f t="shared" si="122"/>
        <v>30000</v>
      </c>
      <c r="AC37" s="74">
        <f>+AB37</f>
        <v>30000</v>
      </c>
      <c r="AD37" s="74">
        <f>IF(AB38&lt;&gt;0,AD24,AB37+AD24)</f>
        <v>30000</v>
      </c>
      <c r="AE37" s="74">
        <f t="shared" ref="AE37:AO37" si="123">IF(AD38&lt;&gt;0,AE24,AD37+AE24)</f>
        <v>30000</v>
      </c>
      <c r="AF37" s="74">
        <f t="shared" si="123"/>
        <v>30000</v>
      </c>
      <c r="AG37" s="74">
        <f t="shared" si="123"/>
        <v>30000</v>
      </c>
      <c r="AH37" s="74">
        <f t="shared" si="123"/>
        <v>30000</v>
      </c>
      <c r="AI37" s="74">
        <f t="shared" si="123"/>
        <v>30000</v>
      </c>
      <c r="AJ37" s="74">
        <f t="shared" si="123"/>
        <v>30000</v>
      </c>
      <c r="AK37" s="74">
        <f t="shared" si="123"/>
        <v>30000</v>
      </c>
      <c r="AL37" s="74">
        <f t="shared" si="123"/>
        <v>30000</v>
      </c>
      <c r="AM37" s="74">
        <f t="shared" si="123"/>
        <v>30000</v>
      </c>
      <c r="AN37" s="74">
        <f t="shared" si="123"/>
        <v>30000</v>
      </c>
      <c r="AO37" s="74">
        <f t="shared" si="123"/>
        <v>30000</v>
      </c>
      <c r="AP37" s="74">
        <f>+AO37</f>
        <v>30000</v>
      </c>
      <c r="AQ37" s="255">
        <f>IF(AO38&lt;&gt;0,AQ24,AO37+AQ24)</f>
        <v>30000</v>
      </c>
      <c r="AR37" s="74">
        <f t="shared" ref="AR37:BB37" si="124">IF(AQ38&lt;&gt;0,AR24,AQ37+AR24)</f>
        <v>30000</v>
      </c>
      <c r="AS37" s="74">
        <f t="shared" si="124"/>
        <v>30000</v>
      </c>
      <c r="AT37" s="74">
        <f t="shared" si="124"/>
        <v>30000</v>
      </c>
      <c r="AU37" s="74">
        <f t="shared" si="124"/>
        <v>30000</v>
      </c>
      <c r="AV37" s="74">
        <f t="shared" si="124"/>
        <v>30000</v>
      </c>
      <c r="AW37" s="74">
        <f t="shared" si="124"/>
        <v>30000</v>
      </c>
      <c r="AX37" s="74">
        <f t="shared" si="124"/>
        <v>30000</v>
      </c>
      <c r="AY37" s="74">
        <f t="shared" si="124"/>
        <v>30000</v>
      </c>
      <c r="AZ37" s="74">
        <f t="shared" si="124"/>
        <v>30000</v>
      </c>
      <c r="BA37" s="74">
        <f t="shared" si="124"/>
        <v>30000</v>
      </c>
      <c r="BB37" s="74">
        <f t="shared" si="124"/>
        <v>30000</v>
      </c>
      <c r="BC37" s="74">
        <f>+BB37</f>
        <v>30000</v>
      </c>
      <c r="BD37" s="255">
        <f>IF(BB38&lt;&gt;0,BD24,BB37+BD24)</f>
        <v>30000</v>
      </c>
      <c r="BE37" s="74">
        <f t="shared" ref="BE37:BO37" si="125">IF(BD38&lt;&gt;0,BE24,BD37+BE24)</f>
        <v>30000</v>
      </c>
      <c r="BF37" s="74">
        <f t="shared" si="125"/>
        <v>30000</v>
      </c>
      <c r="BG37" s="74">
        <f t="shared" si="125"/>
        <v>30000</v>
      </c>
      <c r="BH37" s="74">
        <f t="shared" si="125"/>
        <v>30000</v>
      </c>
      <c r="BI37" s="74">
        <f t="shared" si="125"/>
        <v>30000</v>
      </c>
      <c r="BJ37" s="74">
        <f t="shared" si="125"/>
        <v>30000</v>
      </c>
      <c r="BK37" s="74">
        <f t="shared" si="125"/>
        <v>30000</v>
      </c>
      <c r="BL37" s="74">
        <f t="shared" si="125"/>
        <v>30000</v>
      </c>
      <c r="BM37" s="74">
        <f t="shared" si="125"/>
        <v>30000</v>
      </c>
      <c r="BN37" s="74">
        <f t="shared" si="125"/>
        <v>30000</v>
      </c>
      <c r="BO37" s="74">
        <f t="shared" si="125"/>
        <v>30000</v>
      </c>
      <c r="BP37" s="76">
        <f>+BO37</f>
        <v>30000</v>
      </c>
    </row>
    <row r="38" spans="2:68" x14ac:dyDescent="0.25">
      <c r="B38" s="390"/>
      <c r="C38" s="83" t="s">
        <v>116</v>
      </c>
      <c r="D38" s="74">
        <f>+D37/5000</f>
        <v>2</v>
      </c>
      <c r="E38" s="74">
        <f t="shared" ref="E38:Q38" si="126">+E37/5000</f>
        <v>2</v>
      </c>
      <c r="F38" s="74">
        <f t="shared" si="126"/>
        <v>2</v>
      </c>
      <c r="G38" s="74">
        <f t="shared" si="126"/>
        <v>2</v>
      </c>
      <c r="H38" s="74">
        <f t="shared" si="126"/>
        <v>2</v>
      </c>
      <c r="I38" s="74">
        <f t="shared" si="126"/>
        <v>2</v>
      </c>
      <c r="J38" s="74">
        <f t="shared" si="126"/>
        <v>4</v>
      </c>
      <c r="K38" s="74">
        <f t="shared" si="126"/>
        <v>4</v>
      </c>
      <c r="L38" s="74">
        <f t="shared" si="126"/>
        <v>4</v>
      </c>
      <c r="M38" s="74">
        <f t="shared" si="126"/>
        <v>4</v>
      </c>
      <c r="N38" s="74">
        <f t="shared" si="126"/>
        <v>4</v>
      </c>
      <c r="O38" s="74">
        <f t="shared" si="126"/>
        <v>4</v>
      </c>
      <c r="P38" s="74">
        <f>+O38</f>
        <v>4</v>
      </c>
      <c r="Q38" s="74">
        <f t="shared" si="126"/>
        <v>4</v>
      </c>
      <c r="R38" s="74">
        <f t="shared" ref="R38:AB38" si="127">+R37/5000</f>
        <v>4</v>
      </c>
      <c r="S38" s="74">
        <f t="shared" si="127"/>
        <v>4</v>
      </c>
      <c r="T38" s="74">
        <f t="shared" si="127"/>
        <v>4</v>
      </c>
      <c r="U38" s="74">
        <f t="shared" si="127"/>
        <v>4</v>
      </c>
      <c r="V38" s="74">
        <f t="shared" si="127"/>
        <v>4</v>
      </c>
      <c r="W38" s="74">
        <f t="shared" si="127"/>
        <v>6</v>
      </c>
      <c r="X38" s="74">
        <f t="shared" si="127"/>
        <v>6</v>
      </c>
      <c r="Y38" s="74">
        <f t="shared" si="127"/>
        <v>6</v>
      </c>
      <c r="Z38" s="74">
        <f t="shared" si="127"/>
        <v>6</v>
      </c>
      <c r="AA38" s="74">
        <f t="shared" si="127"/>
        <v>6</v>
      </c>
      <c r="AB38" s="74">
        <f t="shared" si="127"/>
        <v>6</v>
      </c>
      <c r="AC38" s="74">
        <f>+AB38</f>
        <v>6</v>
      </c>
      <c r="AD38" s="74">
        <f t="shared" ref="AD38:AO38" si="128">+AD37/5000</f>
        <v>6</v>
      </c>
      <c r="AE38" s="74">
        <f t="shared" si="128"/>
        <v>6</v>
      </c>
      <c r="AF38" s="74">
        <f t="shared" si="128"/>
        <v>6</v>
      </c>
      <c r="AG38" s="74">
        <f t="shared" si="128"/>
        <v>6</v>
      </c>
      <c r="AH38" s="74">
        <f t="shared" si="128"/>
        <v>6</v>
      </c>
      <c r="AI38" s="74">
        <f t="shared" si="128"/>
        <v>6</v>
      </c>
      <c r="AJ38" s="74">
        <f t="shared" si="128"/>
        <v>6</v>
      </c>
      <c r="AK38" s="74">
        <f t="shared" si="128"/>
        <v>6</v>
      </c>
      <c r="AL38" s="74">
        <f t="shared" si="128"/>
        <v>6</v>
      </c>
      <c r="AM38" s="74">
        <f t="shared" si="128"/>
        <v>6</v>
      </c>
      <c r="AN38" s="74">
        <f t="shared" si="128"/>
        <v>6</v>
      </c>
      <c r="AO38" s="74">
        <f t="shared" si="128"/>
        <v>6</v>
      </c>
      <c r="AP38" s="74">
        <f>+AO38</f>
        <v>6</v>
      </c>
      <c r="AQ38" s="255">
        <f t="shared" ref="AQ38:BB38" si="129">+AQ37/5000</f>
        <v>6</v>
      </c>
      <c r="AR38" s="74">
        <f t="shared" si="129"/>
        <v>6</v>
      </c>
      <c r="AS38" s="74">
        <f t="shared" si="129"/>
        <v>6</v>
      </c>
      <c r="AT38" s="74">
        <f t="shared" si="129"/>
        <v>6</v>
      </c>
      <c r="AU38" s="74">
        <f t="shared" si="129"/>
        <v>6</v>
      </c>
      <c r="AV38" s="74">
        <f t="shared" si="129"/>
        <v>6</v>
      </c>
      <c r="AW38" s="74">
        <f t="shared" si="129"/>
        <v>6</v>
      </c>
      <c r="AX38" s="74">
        <f t="shared" si="129"/>
        <v>6</v>
      </c>
      <c r="AY38" s="74">
        <f t="shared" si="129"/>
        <v>6</v>
      </c>
      <c r="AZ38" s="74">
        <f t="shared" si="129"/>
        <v>6</v>
      </c>
      <c r="BA38" s="74">
        <f t="shared" si="129"/>
        <v>6</v>
      </c>
      <c r="BB38" s="74">
        <f t="shared" si="129"/>
        <v>6</v>
      </c>
      <c r="BC38" s="74">
        <f>+BB38</f>
        <v>6</v>
      </c>
      <c r="BD38" s="255">
        <f t="shared" ref="BD38:BO38" si="130">+BD37/5000</f>
        <v>6</v>
      </c>
      <c r="BE38" s="74">
        <f t="shared" si="130"/>
        <v>6</v>
      </c>
      <c r="BF38" s="74">
        <f t="shared" si="130"/>
        <v>6</v>
      </c>
      <c r="BG38" s="74">
        <f t="shared" si="130"/>
        <v>6</v>
      </c>
      <c r="BH38" s="74">
        <f t="shared" si="130"/>
        <v>6</v>
      </c>
      <c r="BI38" s="74">
        <f t="shared" si="130"/>
        <v>6</v>
      </c>
      <c r="BJ38" s="74">
        <f t="shared" si="130"/>
        <v>6</v>
      </c>
      <c r="BK38" s="74">
        <f t="shared" si="130"/>
        <v>6</v>
      </c>
      <c r="BL38" s="74">
        <f t="shared" si="130"/>
        <v>6</v>
      </c>
      <c r="BM38" s="74">
        <f t="shared" si="130"/>
        <v>6</v>
      </c>
      <c r="BN38" s="74">
        <f t="shared" si="130"/>
        <v>6</v>
      </c>
      <c r="BO38" s="74">
        <f t="shared" si="130"/>
        <v>6</v>
      </c>
      <c r="BP38" s="76">
        <f>+BO38</f>
        <v>6</v>
      </c>
    </row>
    <row r="39" spans="2:68" x14ac:dyDescent="0.25">
      <c r="B39" s="390"/>
      <c r="C39" s="111" t="s">
        <v>117</v>
      </c>
      <c r="D39" s="81">
        <f>+D34*D36*D38</f>
        <v>228000</v>
      </c>
      <c r="E39" s="81">
        <f t="shared" ref="E39:O39" si="131">+E34*E36*E38</f>
        <v>228000</v>
      </c>
      <c r="F39" s="81">
        <f t="shared" si="131"/>
        <v>228000</v>
      </c>
      <c r="G39" s="81">
        <f t="shared" si="131"/>
        <v>228000</v>
      </c>
      <c r="H39" s="81">
        <f t="shared" si="131"/>
        <v>228000</v>
      </c>
      <c r="I39" s="81">
        <f t="shared" si="131"/>
        <v>228000</v>
      </c>
      <c r="J39" s="81">
        <f t="shared" si="131"/>
        <v>456000</v>
      </c>
      <c r="K39" s="81">
        <f t="shared" si="131"/>
        <v>456000</v>
      </c>
      <c r="L39" s="81">
        <f t="shared" si="131"/>
        <v>456000</v>
      </c>
      <c r="M39" s="81">
        <f t="shared" si="131"/>
        <v>456000</v>
      </c>
      <c r="N39" s="81">
        <f t="shared" si="131"/>
        <v>456000</v>
      </c>
      <c r="O39" s="81">
        <f t="shared" si="131"/>
        <v>456000</v>
      </c>
      <c r="P39" s="81">
        <f>SUM(D39:O39)</f>
        <v>4104000</v>
      </c>
      <c r="Q39" s="81">
        <f t="shared" ref="Q39:AB39" si="132">+Q34*Q36*Q38</f>
        <v>474240</v>
      </c>
      <c r="R39" s="81">
        <f t="shared" si="132"/>
        <v>474240</v>
      </c>
      <c r="S39" s="81">
        <f t="shared" si="132"/>
        <v>474240</v>
      </c>
      <c r="T39" s="81">
        <f t="shared" si="132"/>
        <v>474240</v>
      </c>
      <c r="U39" s="81">
        <f t="shared" si="132"/>
        <v>474240</v>
      </c>
      <c r="V39" s="81">
        <f t="shared" si="132"/>
        <v>474240</v>
      </c>
      <c r="W39" s="81">
        <f t="shared" si="132"/>
        <v>711360</v>
      </c>
      <c r="X39" s="81">
        <f t="shared" si="132"/>
        <v>711360</v>
      </c>
      <c r="Y39" s="81">
        <f t="shared" si="132"/>
        <v>711360</v>
      </c>
      <c r="Z39" s="81">
        <f t="shared" si="132"/>
        <v>711360</v>
      </c>
      <c r="AA39" s="81">
        <f t="shared" si="132"/>
        <v>711360</v>
      </c>
      <c r="AB39" s="81">
        <f t="shared" si="132"/>
        <v>711360</v>
      </c>
      <c r="AC39" s="81">
        <f>SUM(Q39:AB39)</f>
        <v>7113600</v>
      </c>
      <c r="AD39" s="81">
        <f t="shared" ref="AD39:AO39" si="133">+AD34*AD36*AD38</f>
        <v>739812</v>
      </c>
      <c r="AE39" s="81">
        <f t="shared" si="133"/>
        <v>739812</v>
      </c>
      <c r="AF39" s="81">
        <f t="shared" si="133"/>
        <v>739812</v>
      </c>
      <c r="AG39" s="81">
        <f t="shared" si="133"/>
        <v>739812</v>
      </c>
      <c r="AH39" s="81">
        <f t="shared" si="133"/>
        <v>739812</v>
      </c>
      <c r="AI39" s="81">
        <f t="shared" si="133"/>
        <v>739812</v>
      </c>
      <c r="AJ39" s="81">
        <f t="shared" si="133"/>
        <v>739812</v>
      </c>
      <c r="AK39" s="81">
        <f t="shared" si="133"/>
        <v>739812</v>
      </c>
      <c r="AL39" s="81">
        <f t="shared" si="133"/>
        <v>739812</v>
      </c>
      <c r="AM39" s="81">
        <f t="shared" si="133"/>
        <v>739812</v>
      </c>
      <c r="AN39" s="81">
        <f t="shared" si="133"/>
        <v>739812</v>
      </c>
      <c r="AO39" s="81">
        <f t="shared" si="133"/>
        <v>739812</v>
      </c>
      <c r="AP39" s="81">
        <f>SUM(AD39:AO39)</f>
        <v>8877744</v>
      </c>
      <c r="AQ39" s="256">
        <f t="shared" ref="AQ39:BB39" si="134">+AQ34*AQ36*AQ38</f>
        <v>739812</v>
      </c>
      <c r="AR39" s="81">
        <f t="shared" si="134"/>
        <v>739812</v>
      </c>
      <c r="AS39" s="81">
        <f t="shared" si="134"/>
        <v>739812</v>
      </c>
      <c r="AT39" s="81">
        <f t="shared" si="134"/>
        <v>739812</v>
      </c>
      <c r="AU39" s="81">
        <f t="shared" si="134"/>
        <v>739812</v>
      </c>
      <c r="AV39" s="81">
        <f t="shared" si="134"/>
        <v>739812</v>
      </c>
      <c r="AW39" s="81">
        <f t="shared" si="134"/>
        <v>739812</v>
      </c>
      <c r="AX39" s="81">
        <f t="shared" si="134"/>
        <v>739812</v>
      </c>
      <c r="AY39" s="81">
        <f t="shared" si="134"/>
        <v>739812</v>
      </c>
      <c r="AZ39" s="81">
        <f t="shared" si="134"/>
        <v>739812</v>
      </c>
      <c r="BA39" s="81">
        <f t="shared" si="134"/>
        <v>739812</v>
      </c>
      <c r="BB39" s="81">
        <f t="shared" si="134"/>
        <v>739812</v>
      </c>
      <c r="BC39" s="81">
        <f>SUM(AQ39:BB39)</f>
        <v>8877744</v>
      </c>
      <c r="BD39" s="256">
        <f t="shared" ref="BD39:BO39" si="135">+BD34*BD36*BD38</f>
        <v>739812</v>
      </c>
      <c r="BE39" s="81">
        <f t="shared" si="135"/>
        <v>739812</v>
      </c>
      <c r="BF39" s="81">
        <f t="shared" si="135"/>
        <v>739812</v>
      </c>
      <c r="BG39" s="81">
        <f t="shared" si="135"/>
        <v>739812</v>
      </c>
      <c r="BH39" s="81">
        <f t="shared" si="135"/>
        <v>739812</v>
      </c>
      <c r="BI39" s="81">
        <f t="shared" si="135"/>
        <v>739812</v>
      </c>
      <c r="BJ39" s="81">
        <f t="shared" si="135"/>
        <v>739812</v>
      </c>
      <c r="BK39" s="81">
        <f t="shared" si="135"/>
        <v>739812</v>
      </c>
      <c r="BL39" s="81">
        <f t="shared" si="135"/>
        <v>739812</v>
      </c>
      <c r="BM39" s="81">
        <f t="shared" si="135"/>
        <v>739812</v>
      </c>
      <c r="BN39" s="81">
        <f t="shared" si="135"/>
        <v>739812</v>
      </c>
      <c r="BO39" s="81">
        <f t="shared" si="135"/>
        <v>739812</v>
      </c>
      <c r="BP39" s="101">
        <f>SUM(BD39:BO39)</f>
        <v>8877744</v>
      </c>
    </row>
    <row r="40" spans="2:68" x14ac:dyDescent="0.25">
      <c r="B40" s="390"/>
      <c r="C40" s="83" t="s">
        <v>126</v>
      </c>
      <c r="D40" s="102">
        <v>20000</v>
      </c>
      <c r="E40" s="74">
        <f t="shared" ref="E40:P40" si="136">+D40</f>
        <v>20000</v>
      </c>
      <c r="F40" s="74">
        <f t="shared" si="136"/>
        <v>20000</v>
      </c>
      <c r="G40" s="74">
        <f t="shared" si="136"/>
        <v>20000</v>
      </c>
      <c r="H40" s="74">
        <f t="shared" si="136"/>
        <v>20000</v>
      </c>
      <c r="I40" s="74">
        <f t="shared" si="136"/>
        <v>20000</v>
      </c>
      <c r="J40" s="74">
        <f t="shared" si="136"/>
        <v>20000</v>
      </c>
      <c r="K40" s="74">
        <f t="shared" si="136"/>
        <v>20000</v>
      </c>
      <c r="L40" s="74">
        <f t="shared" si="136"/>
        <v>20000</v>
      </c>
      <c r="M40" s="74">
        <f t="shared" si="136"/>
        <v>20000</v>
      </c>
      <c r="N40" s="74">
        <f t="shared" si="136"/>
        <v>20000</v>
      </c>
      <c r="O40" s="74">
        <f t="shared" si="136"/>
        <v>20000</v>
      </c>
      <c r="P40" s="75">
        <f t="shared" si="136"/>
        <v>20000</v>
      </c>
      <c r="Q40" s="75">
        <f>+O40*(1+O35)</f>
        <v>20800</v>
      </c>
      <c r="R40" s="75">
        <f t="shared" ref="R40:AC40" si="137">+Q40</f>
        <v>20800</v>
      </c>
      <c r="S40" s="75">
        <f t="shared" si="137"/>
        <v>20800</v>
      </c>
      <c r="T40" s="75">
        <f t="shared" si="137"/>
        <v>20800</v>
      </c>
      <c r="U40" s="75">
        <f t="shared" si="137"/>
        <v>20800</v>
      </c>
      <c r="V40" s="75">
        <f t="shared" si="137"/>
        <v>20800</v>
      </c>
      <c r="W40" s="75">
        <f t="shared" si="137"/>
        <v>20800</v>
      </c>
      <c r="X40" s="75">
        <f t="shared" si="137"/>
        <v>20800</v>
      </c>
      <c r="Y40" s="75">
        <f t="shared" si="137"/>
        <v>20800</v>
      </c>
      <c r="Z40" s="75">
        <f t="shared" si="137"/>
        <v>20800</v>
      </c>
      <c r="AA40" s="75">
        <f t="shared" si="137"/>
        <v>20800</v>
      </c>
      <c r="AB40" s="75">
        <f t="shared" si="137"/>
        <v>20800</v>
      </c>
      <c r="AC40" s="75">
        <f t="shared" si="137"/>
        <v>20800</v>
      </c>
      <c r="AD40" s="75">
        <f>+AB40*(1+AB35)</f>
        <v>21632</v>
      </c>
      <c r="AE40" s="75">
        <f t="shared" ref="AE40:AP40" si="138">+AD40</f>
        <v>21632</v>
      </c>
      <c r="AF40" s="75">
        <f t="shared" si="138"/>
        <v>21632</v>
      </c>
      <c r="AG40" s="75">
        <f t="shared" si="138"/>
        <v>21632</v>
      </c>
      <c r="AH40" s="75">
        <f t="shared" si="138"/>
        <v>21632</v>
      </c>
      <c r="AI40" s="75">
        <f t="shared" si="138"/>
        <v>21632</v>
      </c>
      <c r="AJ40" s="75">
        <f t="shared" si="138"/>
        <v>21632</v>
      </c>
      <c r="AK40" s="75">
        <f t="shared" si="138"/>
        <v>21632</v>
      </c>
      <c r="AL40" s="75">
        <f t="shared" si="138"/>
        <v>21632</v>
      </c>
      <c r="AM40" s="75">
        <f t="shared" si="138"/>
        <v>21632</v>
      </c>
      <c r="AN40" s="75">
        <f t="shared" si="138"/>
        <v>21632</v>
      </c>
      <c r="AO40" s="75">
        <f t="shared" si="138"/>
        <v>21632</v>
      </c>
      <c r="AP40" s="75">
        <f t="shared" si="138"/>
        <v>21632</v>
      </c>
      <c r="AQ40" s="254">
        <f>+AO40*(1+AO35)</f>
        <v>21632</v>
      </c>
      <c r="AR40" s="75">
        <f t="shared" ref="AR40:BC40" si="139">+AQ40</f>
        <v>21632</v>
      </c>
      <c r="AS40" s="75">
        <f t="shared" si="139"/>
        <v>21632</v>
      </c>
      <c r="AT40" s="75">
        <f t="shared" si="139"/>
        <v>21632</v>
      </c>
      <c r="AU40" s="75">
        <f t="shared" si="139"/>
        <v>21632</v>
      </c>
      <c r="AV40" s="75">
        <f t="shared" si="139"/>
        <v>21632</v>
      </c>
      <c r="AW40" s="75">
        <f t="shared" si="139"/>
        <v>21632</v>
      </c>
      <c r="AX40" s="75">
        <f t="shared" si="139"/>
        <v>21632</v>
      </c>
      <c r="AY40" s="75">
        <f t="shared" si="139"/>
        <v>21632</v>
      </c>
      <c r="AZ40" s="75">
        <f t="shared" si="139"/>
        <v>21632</v>
      </c>
      <c r="BA40" s="75">
        <f t="shared" si="139"/>
        <v>21632</v>
      </c>
      <c r="BB40" s="75">
        <f t="shared" si="139"/>
        <v>21632</v>
      </c>
      <c r="BC40" s="75">
        <f t="shared" si="139"/>
        <v>21632</v>
      </c>
      <c r="BD40" s="254">
        <f>+BB40*(1+BB35)</f>
        <v>21632</v>
      </c>
      <c r="BE40" s="75">
        <f t="shared" ref="BE40:BP40" si="140">+BD40</f>
        <v>21632</v>
      </c>
      <c r="BF40" s="75">
        <f t="shared" si="140"/>
        <v>21632</v>
      </c>
      <c r="BG40" s="75">
        <f t="shared" si="140"/>
        <v>21632</v>
      </c>
      <c r="BH40" s="75">
        <f t="shared" si="140"/>
        <v>21632</v>
      </c>
      <c r="BI40" s="75">
        <f t="shared" si="140"/>
        <v>21632</v>
      </c>
      <c r="BJ40" s="75">
        <f t="shared" si="140"/>
        <v>21632</v>
      </c>
      <c r="BK40" s="75">
        <f t="shared" si="140"/>
        <v>21632</v>
      </c>
      <c r="BL40" s="75">
        <f t="shared" si="140"/>
        <v>21632</v>
      </c>
      <c r="BM40" s="75">
        <f t="shared" si="140"/>
        <v>21632</v>
      </c>
      <c r="BN40" s="75">
        <f t="shared" si="140"/>
        <v>21632</v>
      </c>
      <c r="BO40" s="75">
        <f t="shared" si="140"/>
        <v>21632</v>
      </c>
      <c r="BP40" s="82">
        <f t="shared" si="140"/>
        <v>21632</v>
      </c>
    </row>
    <row r="41" spans="2:68" x14ac:dyDescent="0.25">
      <c r="B41" s="390"/>
      <c r="C41" s="83" t="s">
        <v>127</v>
      </c>
      <c r="D41" s="102">
        <v>12000</v>
      </c>
      <c r="E41" s="74">
        <f t="shared" ref="E41:P41" si="141">+D41</f>
        <v>12000</v>
      </c>
      <c r="F41" s="74">
        <f t="shared" si="141"/>
        <v>12000</v>
      </c>
      <c r="G41" s="74">
        <f t="shared" si="141"/>
        <v>12000</v>
      </c>
      <c r="H41" s="74">
        <f t="shared" si="141"/>
        <v>12000</v>
      </c>
      <c r="I41" s="74">
        <f t="shared" si="141"/>
        <v>12000</v>
      </c>
      <c r="J41" s="74">
        <f t="shared" si="141"/>
        <v>12000</v>
      </c>
      <c r="K41" s="74">
        <f t="shared" si="141"/>
        <v>12000</v>
      </c>
      <c r="L41" s="74">
        <f t="shared" si="141"/>
        <v>12000</v>
      </c>
      <c r="M41" s="74">
        <f t="shared" si="141"/>
        <v>12000</v>
      </c>
      <c r="N41" s="74">
        <f t="shared" si="141"/>
        <v>12000</v>
      </c>
      <c r="O41" s="74">
        <f t="shared" si="141"/>
        <v>12000</v>
      </c>
      <c r="P41" s="75">
        <f t="shared" si="141"/>
        <v>12000</v>
      </c>
      <c r="Q41" s="75">
        <f>+O41*(1+O35)</f>
        <v>12480</v>
      </c>
      <c r="R41" s="75">
        <f t="shared" ref="R41:AC41" si="142">+Q41</f>
        <v>12480</v>
      </c>
      <c r="S41" s="75">
        <f t="shared" si="142"/>
        <v>12480</v>
      </c>
      <c r="T41" s="75">
        <f t="shared" si="142"/>
        <v>12480</v>
      </c>
      <c r="U41" s="75">
        <f t="shared" si="142"/>
        <v>12480</v>
      </c>
      <c r="V41" s="75">
        <f t="shared" si="142"/>
        <v>12480</v>
      </c>
      <c r="W41" s="75">
        <f t="shared" si="142"/>
        <v>12480</v>
      </c>
      <c r="X41" s="75">
        <f t="shared" si="142"/>
        <v>12480</v>
      </c>
      <c r="Y41" s="75">
        <f t="shared" si="142"/>
        <v>12480</v>
      </c>
      <c r="Z41" s="75">
        <f t="shared" si="142"/>
        <v>12480</v>
      </c>
      <c r="AA41" s="75">
        <f t="shared" si="142"/>
        <v>12480</v>
      </c>
      <c r="AB41" s="75">
        <f t="shared" si="142"/>
        <v>12480</v>
      </c>
      <c r="AC41" s="75">
        <f t="shared" si="142"/>
        <v>12480</v>
      </c>
      <c r="AD41" s="75">
        <f>+AB41*(1+AB35)</f>
        <v>12979.2</v>
      </c>
      <c r="AE41" s="75">
        <f t="shared" ref="AE41:AP41" si="143">+AD41</f>
        <v>12979.2</v>
      </c>
      <c r="AF41" s="75">
        <f t="shared" si="143"/>
        <v>12979.2</v>
      </c>
      <c r="AG41" s="75">
        <f t="shared" si="143"/>
        <v>12979.2</v>
      </c>
      <c r="AH41" s="75">
        <f t="shared" si="143"/>
        <v>12979.2</v>
      </c>
      <c r="AI41" s="75">
        <f t="shared" si="143"/>
        <v>12979.2</v>
      </c>
      <c r="AJ41" s="75">
        <f t="shared" si="143"/>
        <v>12979.2</v>
      </c>
      <c r="AK41" s="75">
        <f t="shared" si="143"/>
        <v>12979.2</v>
      </c>
      <c r="AL41" s="75">
        <f t="shared" si="143"/>
        <v>12979.2</v>
      </c>
      <c r="AM41" s="75">
        <f t="shared" si="143"/>
        <v>12979.2</v>
      </c>
      <c r="AN41" s="75">
        <f t="shared" si="143"/>
        <v>12979.2</v>
      </c>
      <c r="AO41" s="75">
        <f t="shared" si="143"/>
        <v>12979.2</v>
      </c>
      <c r="AP41" s="75">
        <f t="shared" si="143"/>
        <v>12979.2</v>
      </c>
      <c r="AQ41" s="254">
        <f>+AO41*(1+AO35)</f>
        <v>12979.2</v>
      </c>
      <c r="AR41" s="75">
        <f t="shared" ref="AR41:BC41" si="144">+AQ41</f>
        <v>12979.2</v>
      </c>
      <c r="AS41" s="75">
        <f t="shared" si="144"/>
        <v>12979.2</v>
      </c>
      <c r="AT41" s="75">
        <f t="shared" si="144"/>
        <v>12979.2</v>
      </c>
      <c r="AU41" s="75">
        <f t="shared" si="144"/>
        <v>12979.2</v>
      </c>
      <c r="AV41" s="75">
        <f t="shared" si="144"/>
        <v>12979.2</v>
      </c>
      <c r="AW41" s="75">
        <f t="shared" si="144"/>
        <v>12979.2</v>
      </c>
      <c r="AX41" s="75">
        <f t="shared" si="144"/>
        <v>12979.2</v>
      </c>
      <c r="AY41" s="75">
        <f t="shared" si="144"/>
        <v>12979.2</v>
      </c>
      <c r="AZ41" s="75">
        <f t="shared" si="144"/>
        <v>12979.2</v>
      </c>
      <c r="BA41" s="75">
        <f t="shared" si="144"/>
        <v>12979.2</v>
      </c>
      <c r="BB41" s="75">
        <f t="shared" si="144"/>
        <v>12979.2</v>
      </c>
      <c r="BC41" s="75">
        <f t="shared" si="144"/>
        <v>12979.2</v>
      </c>
      <c r="BD41" s="254">
        <f>+BB41*(1+BB35)</f>
        <v>12979.2</v>
      </c>
      <c r="BE41" s="75">
        <f t="shared" ref="BE41:BP41" si="145">+BD41</f>
        <v>12979.2</v>
      </c>
      <c r="BF41" s="75">
        <f t="shared" si="145"/>
        <v>12979.2</v>
      </c>
      <c r="BG41" s="75">
        <f t="shared" si="145"/>
        <v>12979.2</v>
      </c>
      <c r="BH41" s="75">
        <f t="shared" si="145"/>
        <v>12979.2</v>
      </c>
      <c r="BI41" s="75">
        <f t="shared" si="145"/>
        <v>12979.2</v>
      </c>
      <c r="BJ41" s="75">
        <f t="shared" si="145"/>
        <v>12979.2</v>
      </c>
      <c r="BK41" s="75">
        <f t="shared" si="145"/>
        <v>12979.2</v>
      </c>
      <c r="BL41" s="75">
        <f t="shared" si="145"/>
        <v>12979.2</v>
      </c>
      <c r="BM41" s="75">
        <f t="shared" si="145"/>
        <v>12979.2</v>
      </c>
      <c r="BN41" s="75">
        <f t="shared" si="145"/>
        <v>12979.2</v>
      </c>
      <c r="BO41" s="75">
        <f t="shared" si="145"/>
        <v>12979.2</v>
      </c>
      <c r="BP41" s="82">
        <f t="shared" si="145"/>
        <v>12979.2</v>
      </c>
    </row>
    <row r="42" spans="2:68" x14ac:dyDescent="0.25">
      <c r="B42" s="390"/>
      <c r="C42" s="83" t="s">
        <v>128</v>
      </c>
      <c r="D42" s="74">
        <f>+D40+D41</f>
        <v>32000</v>
      </c>
      <c r="E42" s="74">
        <f t="shared" ref="E42:Q42" si="146">+E40+E41</f>
        <v>32000</v>
      </c>
      <c r="F42" s="74">
        <f t="shared" si="146"/>
        <v>32000</v>
      </c>
      <c r="G42" s="74">
        <f t="shared" si="146"/>
        <v>32000</v>
      </c>
      <c r="H42" s="74">
        <f t="shared" si="146"/>
        <v>32000</v>
      </c>
      <c r="I42" s="74">
        <f t="shared" si="146"/>
        <v>32000</v>
      </c>
      <c r="J42" s="74">
        <f t="shared" si="146"/>
        <v>32000</v>
      </c>
      <c r="K42" s="74">
        <f t="shared" si="146"/>
        <v>32000</v>
      </c>
      <c r="L42" s="74">
        <f t="shared" si="146"/>
        <v>32000</v>
      </c>
      <c r="M42" s="74">
        <f t="shared" si="146"/>
        <v>32000</v>
      </c>
      <c r="N42" s="74">
        <f t="shared" si="146"/>
        <v>32000</v>
      </c>
      <c r="O42" s="74">
        <f t="shared" si="146"/>
        <v>32000</v>
      </c>
      <c r="P42" s="74">
        <f>+O42</f>
        <v>32000</v>
      </c>
      <c r="Q42" s="74">
        <f t="shared" si="146"/>
        <v>33280</v>
      </c>
      <c r="R42" s="74">
        <f t="shared" ref="R42:AB42" si="147">+R40+R41</f>
        <v>33280</v>
      </c>
      <c r="S42" s="74">
        <f t="shared" si="147"/>
        <v>33280</v>
      </c>
      <c r="T42" s="74">
        <f t="shared" si="147"/>
        <v>33280</v>
      </c>
      <c r="U42" s="74">
        <f t="shared" si="147"/>
        <v>33280</v>
      </c>
      <c r="V42" s="74">
        <f t="shared" si="147"/>
        <v>33280</v>
      </c>
      <c r="W42" s="74">
        <f t="shared" si="147"/>
        <v>33280</v>
      </c>
      <c r="X42" s="74">
        <f t="shared" si="147"/>
        <v>33280</v>
      </c>
      <c r="Y42" s="74">
        <f t="shared" si="147"/>
        <v>33280</v>
      </c>
      <c r="Z42" s="74">
        <f t="shared" si="147"/>
        <v>33280</v>
      </c>
      <c r="AA42" s="74">
        <f t="shared" si="147"/>
        <v>33280</v>
      </c>
      <c r="AB42" s="74">
        <f t="shared" si="147"/>
        <v>33280</v>
      </c>
      <c r="AC42" s="74">
        <f>+AB42</f>
        <v>33280</v>
      </c>
      <c r="AD42" s="74">
        <f t="shared" ref="AD42:AO42" si="148">+AD40+AD41</f>
        <v>34611.199999999997</v>
      </c>
      <c r="AE42" s="74">
        <f t="shared" si="148"/>
        <v>34611.199999999997</v>
      </c>
      <c r="AF42" s="74">
        <f t="shared" si="148"/>
        <v>34611.199999999997</v>
      </c>
      <c r="AG42" s="74">
        <f t="shared" si="148"/>
        <v>34611.199999999997</v>
      </c>
      <c r="AH42" s="74">
        <f t="shared" si="148"/>
        <v>34611.199999999997</v>
      </c>
      <c r="AI42" s="74">
        <f t="shared" si="148"/>
        <v>34611.199999999997</v>
      </c>
      <c r="AJ42" s="74">
        <f t="shared" si="148"/>
        <v>34611.199999999997</v>
      </c>
      <c r="AK42" s="74">
        <f t="shared" si="148"/>
        <v>34611.199999999997</v>
      </c>
      <c r="AL42" s="74">
        <f t="shared" si="148"/>
        <v>34611.199999999997</v>
      </c>
      <c r="AM42" s="74">
        <f t="shared" si="148"/>
        <v>34611.199999999997</v>
      </c>
      <c r="AN42" s="74">
        <f t="shared" si="148"/>
        <v>34611.199999999997</v>
      </c>
      <c r="AO42" s="74">
        <f t="shared" si="148"/>
        <v>34611.199999999997</v>
      </c>
      <c r="AP42" s="74">
        <f>+AO42</f>
        <v>34611.199999999997</v>
      </c>
      <c r="AQ42" s="255">
        <f t="shared" ref="AQ42:BB42" si="149">+AQ40+AQ41</f>
        <v>34611.199999999997</v>
      </c>
      <c r="AR42" s="74">
        <f t="shared" si="149"/>
        <v>34611.199999999997</v>
      </c>
      <c r="AS42" s="74">
        <f t="shared" si="149"/>
        <v>34611.199999999997</v>
      </c>
      <c r="AT42" s="74">
        <f t="shared" si="149"/>
        <v>34611.199999999997</v>
      </c>
      <c r="AU42" s="74">
        <f t="shared" si="149"/>
        <v>34611.199999999997</v>
      </c>
      <c r="AV42" s="74">
        <f t="shared" si="149"/>
        <v>34611.199999999997</v>
      </c>
      <c r="AW42" s="74">
        <f t="shared" si="149"/>
        <v>34611.199999999997</v>
      </c>
      <c r="AX42" s="74">
        <f t="shared" si="149"/>
        <v>34611.199999999997</v>
      </c>
      <c r="AY42" s="74">
        <f t="shared" si="149"/>
        <v>34611.199999999997</v>
      </c>
      <c r="AZ42" s="74">
        <f t="shared" si="149"/>
        <v>34611.199999999997</v>
      </c>
      <c r="BA42" s="74">
        <f t="shared" si="149"/>
        <v>34611.199999999997</v>
      </c>
      <c r="BB42" s="74">
        <f t="shared" si="149"/>
        <v>34611.199999999997</v>
      </c>
      <c r="BC42" s="74">
        <f>+BB42</f>
        <v>34611.199999999997</v>
      </c>
      <c r="BD42" s="255">
        <f t="shared" ref="BD42:BO42" si="150">+BD40+BD41</f>
        <v>34611.199999999997</v>
      </c>
      <c r="BE42" s="74">
        <f t="shared" si="150"/>
        <v>34611.199999999997</v>
      </c>
      <c r="BF42" s="74">
        <f t="shared" si="150"/>
        <v>34611.199999999997</v>
      </c>
      <c r="BG42" s="74">
        <f t="shared" si="150"/>
        <v>34611.199999999997</v>
      </c>
      <c r="BH42" s="74">
        <f t="shared" si="150"/>
        <v>34611.199999999997</v>
      </c>
      <c r="BI42" s="74">
        <f t="shared" si="150"/>
        <v>34611.199999999997</v>
      </c>
      <c r="BJ42" s="74">
        <f t="shared" si="150"/>
        <v>34611.199999999997</v>
      </c>
      <c r="BK42" s="74">
        <f t="shared" si="150"/>
        <v>34611.199999999997</v>
      </c>
      <c r="BL42" s="74">
        <f t="shared" si="150"/>
        <v>34611.199999999997</v>
      </c>
      <c r="BM42" s="74">
        <f t="shared" si="150"/>
        <v>34611.199999999997</v>
      </c>
      <c r="BN42" s="74">
        <f t="shared" si="150"/>
        <v>34611.199999999997</v>
      </c>
      <c r="BO42" s="74">
        <f t="shared" si="150"/>
        <v>34611.199999999997</v>
      </c>
      <c r="BP42" s="76">
        <f>+BO42</f>
        <v>34611.199999999997</v>
      </c>
    </row>
    <row r="43" spans="2:68" x14ac:dyDescent="0.25">
      <c r="B43" s="390"/>
      <c r="C43" s="86" t="s">
        <v>119</v>
      </c>
      <c r="D43" s="81">
        <f t="shared" ref="D43:O43" si="151">+D38*D42</f>
        <v>64000</v>
      </c>
      <c r="E43" s="81">
        <f t="shared" si="151"/>
        <v>64000</v>
      </c>
      <c r="F43" s="81">
        <f t="shared" si="151"/>
        <v>64000</v>
      </c>
      <c r="G43" s="81">
        <f t="shared" si="151"/>
        <v>64000</v>
      </c>
      <c r="H43" s="81">
        <f t="shared" si="151"/>
        <v>64000</v>
      </c>
      <c r="I43" s="81">
        <f t="shared" si="151"/>
        <v>64000</v>
      </c>
      <c r="J43" s="81">
        <f t="shared" si="151"/>
        <v>128000</v>
      </c>
      <c r="K43" s="81">
        <f t="shared" si="151"/>
        <v>128000</v>
      </c>
      <c r="L43" s="81">
        <f t="shared" si="151"/>
        <v>128000</v>
      </c>
      <c r="M43" s="81">
        <f t="shared" si="151"/>
        <v>128000</v>
      </c>
      <c r="N43" s="81">
        <f t="shared" si="151"/>
        <v>128000</v>
      </c>
      <c r="O43" s="81">
        <f t="shared" si="151"/>
        <v>128000</v>
      </c>
      <c r="P43" s="81">
        <f>SUM(D43:O43)</f>
        <v>1152000</v>
      </c>
      <c r="Q43" s="81">
        <f t="shared" ref="Q43:AB43" si="152">+Q38*Q42</f>
        <v>133120</v>
      </c>
      <c r="R43" s="81">
        <f t="shared" si="152"/>
        <v>133120</v>
      </c>
      <c r="S43" s="81">
        <f t="shared" si="152"/>
        <v>133120</v>
      </c>
      <c r="T43" s="81">
        <f t="shared" si="152"/>
        <v>133120</v>
      </c>
      <c r="U43" s="81">
        <f t="shared" si="152"/>
        <v>133120</v>
      </c>
      <c r="V43" s="81">
        <f t="shared" si="152"/>
        <v>133120</v>
      </c>
      <c r="W43" s="81">
        <f t="shared" si="152"/>
        <v>199680</v>
      </c>
      <c r="X43" s="81">
        <f t="shared" si="152"/>
        <v>199680</v>
      </c>
      <c r="Y43" s="81">
        <f t="shared" si="152"/>
        <v>199680</v>
      </c>
      <c r="Z43" s="81">
        <f t="shared" si="152"/>
        <v>199680</v>
      </c>
      <c r="AA43" s="81">
        <f t="shared" si="152"/>
        <v>199680</v>
      </c>
      <c r="AB43" s="81">
        <f t="shared" si="152"/>
        <v>199680</v>
      </c>
      <c r="AC43" s="81">
        <f>SUM(Q43:AB43)</f>
        <v>1996800</v>
      </c>
      <c r="AD43" s="81">
        <f t="shared" ref="AD43:AO43" si="153">+AD38*AD42</f>
        <v>207667.19999999998</v>
      </c>
      <c r="AE43" s="81">
        <f t="shared" si="153"/>
        <v>207667.19999999998</v>
      </c>
      <c r="AF43" s="81">
        <f t="shared" si="153"/>
        <v>207667.19999999998</v>
      </c>
      <c r="AG43" s="81">
        <f t="shared" si="153"/>
        <v>207667.19999999998</v>
      </c>
      <c r="AH43" s="81">
        <f t="shared" si="153"/>
        <v>207667.19999999998</v>
      </c>
      <c r="AI43" s="81">
        <f t="shared" si="153"/>
        <v>207667.19999999998</v>
      </c>
      <c r="AJ43" s="81">
        <f t="shared" si="153"/>
        <v>207667.19999999998</v>
      </c>
      <c r="AK43" s="81">
        <f t="shared" si="153"/>
        <v>207667.19999999998</v>
      </c>
      <c r="AL43" s="81">
        <f t="shared" si="153"/>
        <v>207667.19999999998</v>
      </c>
      <c r="AM43" s="81">
        <f t="shared" si="153"/>
        <v>207667.19999999998</v>
      </c>
      <c r="AN43" s="81">
        <f t="shared" si="153"/>
        <v>207667.19999999998</v>
      </c>
      <c r="AO43" s="81">
        <f t="shared" si="153"/>
        <v>207667.19999999998</v>
      </c>
      <c r="AP43" s="81">
        <f>SUM(AD43:AO43)</f>
        <v>2492006.3999999999</v>
      </c>
      <c r="AQ43" s="256">
        <f t="shared" ref="AQ43:BB43" si="154">+AQ38*AQ42</f>
        <v>207667.19999999998</v>
      </c>
      <c r="AR43" s="81">
        <f t="shared" si="154"/>
        <v>207667.19999999998</v>
      </c>
      <c r="AS43" s="81">
        <f t="shared" si="154"/>
        <v>207667.19999999998</v>
      </c>
      <c r="AT43" s="81">
        <f t="shared" si="154"/>
        <v>207667.19999999998</v>
      </c>
      <c r="AU43" s="81">
        <f t="shared" si="154"/>
        <v>207667.19999999998</v>
      </c>
      <c r="AV43" s="81">
        <f t="shared" si="154"/>
        <v>207667.19999999998</v>
      </c>
      <c r="AW43" s="81">
        <f t="shared" si="154"/>
        <v>207667.19999999998</v>
      </c>
      <c r="AX43" s="81">
        <f t="shared" si="154"/>
        <v>207667.19999999998</v>
      </c>
      <c r="AY43" s="81">
        <f t="shared" si="154"/>
        <v>207667.19999999998</v>
      </c>
      <c r="AZ43" s="81">
        <f t="shared" si="154"/>
        <v>207667.19999999998</v>
      </c>
      <c r="BA43" s="81">
        <f t="shared" si="154"/>
        <v>207667.19999999998</v>
      </c>
      <c r="BB43" s="81">
        <f t="shared" si="154"/>
        <v>207667.19999999998</v>
      </c>
      <c r="BC43" s="81">
        <f>SUM(AQ43:BB43)</f>
        <v>2492006.3999999999</v>
      </c>
      <c r="BD43" s="256">
        <f t="shared" ref="BD43:BO43" si="155">+BD38*BD42</f>
        <v>207667.19999999998</v>
      </c>
      <c r="BE43" s="81">
        <f t="shared" si="155"/>
        <v>207667.19999999998</v>
      </c>
      <c r="BF43" s="81">
        <f t="shared" si="155"/>
        <v>207667.19999999998</v>
      </c>
      <c r="BG43" s="81">
        <f t="shared" si="155"/>
        <v>207667.19999999998</v>
      </c>
      <c r="BH43" s="81">
        <f t="shared" si="155"/>
        <v>207667.19999999998</v>
      </c>
      <c r="BI43" s="81">
        <f t="shared" si="155"/>
        <v>207667.19999999998</v>
      </c>
      <c r="BJ43" s="81">
        <f t="shared" si="155"/>
        <v>207667.19999999998</v>
      </c>
      <c r="BK43" s="81">
        <f t="shared" si="155"/>
        <v>207667.19999999998</v>
      </c>
      <c r="BL43" s="81">
        <f t="shared" si="155"/>
        <v>207667.19999999998</v>
      </c>
      <c r="BM43" s="81">
        <f t="shared" si="155"/>
        <v>207667.19999999998</v>
      </c>
      <c r="BN43" s="81">
        <f t="shared" si="155"/>
        <v>207667.19999999998</v>
      </c>
      <c r="BO43" s="81">
        <f t="shared" si="155"/>
        <v>207667.19999999998</v>
      </c>
      <c r="BP43" s="101">
        <f>SUM(BD43:BO43)</f>
        <v>2492006.3999999999</v>
      </c>
    </row>
    <row r="44" spans="2:68" x14ac:dyDescent="0.25">
      <c r="B44" s="390"/>
      <c r="C44" s="83" t="s">
        <v>129</v>
      </c>
      <c r="D44" s="102">
        <v>500000</v>
      </c>
      <c r="E44" s="74">
        <f t="shared" ref="E44:P44" si="156">+D44</f>
        <v>500000</v>
      </c>
      <c r="F44" s="74">
        <f t="shared" si="156"/>
        <v>500000</v>
      </c>
      <c r="G44" s="74">
        <f t="shared" si="156"/>
        <v>500000</v>
      </c>
      <c r="H44" s="74">
        <f t="shared" si="156"/>
        <v>500000</v>
      </c>
      <c r="I44" s="74">
        <f t="shared" si="156"/>
        <v>500000</v>
      </c>
      <c r="J44" s="74">
        <f t="shared" si="156"/>
        <v>500000</v>
      </c>
      <c r="K44" s="74">
        <f t="shared" si="156"/>
        <v>500000</v>
      </c>
      <c r="L44" s="74">
        <f t="shared" si="156"/>
        <v>500000</v>
      </c>
      <c r="M44" s="74">
        <f t="shared" si="156"/>
        <v>500000</v>
      </c>
      <c r="N44" s="74">
        <f t="shared" si="156"/>
        <v>500000</v>
      </c>
      <c r="O44" s="74">
        <f t="shared" si="156"/>
        <v>500000</v>
      </c>
      <c r="P44" s="75">
        <f t="shared" si="156"/>
        <v>500000</v>
      </c>
      <c r="Q44" s="75">
        <f>+O44*(1+O35)</f>
        <v>520000</v>
      </c>
      <c r="R44" s="75">
        <f t="shared" ref="R44:AC44" si="157">+Q44</f>
        <v>520000</v>
      </c>
      <c r="S44" s="75">
        <f t="shared" si="157"/>
        <v>520000</v>
      </c>
      <c r="T44" s="75">
        <f t="shared" si="157"/>
        <v>520000</v>
      </c>
      <c r="U44" s="75">
        <f t="shared" si="157"/>
        <v>520000</v>
      </c>
      <c r="V44" s="75">
        <f t="shared" si="157"/>
        <v>520000</v>
      </c>
      <c r="W44" s="75">
        <f t="shared" si="157"/>
        <v>520000</v>
      </c>
      <c r="X44" s="75">
        <f t="shared" si="157"/>
        <v>520000</v>
      </c>
      <c r="Y44" s="75">
        <f t="shared" si="157"/>
        <v>520000</v>
      </c>
      <c r="Z44" s="75">
        <f t="shared" si="157"/>
        <v>520000</v>
      </c>
      <c r="AA44" s="75">
        <f t="shared" si="157"/>
        <v>520000</v>
      </c>
      <c r="AB44" s="75">
        <f t="shared" si="157"/>
        <v>520000</v>
      </c>
      <c r="AC44" s="75">
        <f t="shared" si="157"/>
        <v>520000</v>
      </c>
      <c r="AD44" s="75">
        <f>+AB44*(1+AB35)</f>
        <v>540800</v>
      </c>
      <c r="AE44" s="75">
        <f t="shared" ref="AE44:AP44" si="158">+AD44</f>
        <v>540800</v>
      </c>
      <c r="AF44" s="75">
        <f t="shared" si="158"/>
        <v>540800</v>
      </c>
      <c r="AG44" s="75">
        <f t="shared" si="158"/>
        <v>540800</v>
      </c>
      <c r="AH44" s="75">
        <f t="shared" si="158"/>
        <v>540800</v>
      </c>
      <c r="AI44" s="75">
        <f t="shared" si="158"/>
        <v>540800</v>
      </c>
      <c r="AJ44" s="75">
        <f t="shared" si="158"/>
        <v>540800</v>
      </c>
      <c r="AK44" s="75">
        <f t="shared" si="158"/>
        <v>540800</v>
      </c>
      <c r="AL44" s="75">
        <f t="shared" si="158"/>
        <v>540800</v>
      </c>
      <c r="AM44" s="75">
        <f t="shared" si="158"/>
        <v>540800</v>
      </c>
      <c r="AN44" s="75">
        <f t="shared" si="158"/>
        <v>540800</v>
      </c>
      <c r="AO44" s="75">
        <f t="shared" si="158"/>
        <v>540800</v>
      </c>
      <c r="AP44" s="75">
        <f t="shared" si="158"/>
        <v>540800</v>
      </c>
      <c r="AQ44" s="254">
        <f>+AO44*(1+AO35)</f>
        <v>540800</v>
      </c>
      <c r="AR44" s="75">
        <f t="shared" ref="AR44:BC44" si="159">+AQ44</f>
        <v>540800</v>
      </c>
      <c r="AS44" s="75">
        <f t="shared" si="159"/>
        <v>540800</v>
      </c>
      <c r="AT44" s="75">
        <f t="shared" si="159"/>
        <v>540800</v>
      </c>
      <c r="AU44" s="75">
        <f t="shared" si="159"/>
        <v>540800</v>
      </c>
      <c r="AV44" s="75">
        <f t="shared" si="159"/>
        <v>540800</v>
      </c>
      <c r="AW44" s="75">
        <f t="shared" si="159"/>
        <v>540800</v>
      </c>
      <c r="AX44" s="75">
        <f t="shared" si="159"/>
        <v>540800</v>
      </c>
      <c r="AY44" s="75">
        <f t="shared" si="159"/>
        <v>540800</v>
      </c>
      <c r="AZ44" s="75">
        <f t="shared" si="159"/>
        <v>540800</v>
      </c>
      <c r="BA44" s="75">
        <f t="shared" si="159"/>
        <v>540800</v>
      </c>
      <c r="BB44" s="75">
        <f t="shared" si="159"/>
        <v>540800</v>
      </c>
      <c r="BC44" s="75">
        <f t="shared" si="159"/>
        <v>540800</v>
      </c>
      <c r="BD44" s="254">
        <f>+BB44*(1+BB35)</f>
        <v>540800</v>
      </c>
      <c r="BE44" s="75">
        <f t="shared" ref="BE44:BP44" si="160">+BD44</f>
        <v>540800</v>
      </c>
      <c r="BF44" s="75">
        <f t="shared" si="160"/>
        <v>540800</v>
      </c>
      <c r="BG44" s="75">
        <f t="shared" si="160"/>
        <v>540800</v>
      </c>
      <c r="BH44" s="75">
        <f t="shared" si="160"/>
        <v>540800</v>
      </c>
      <c r="BI44" s="75">
        <f t="shared" si="160"/>
        <v>540800</v>
      </c>
      <c r="BJ44" s="75">
        <f t="shared" si="160"/>
        <v>540800</v>
      </c>
      <c r="BK44" s="75">
        <f t="shared" si="160"/>
        <v>540800</v>
      </c>
      <c r="BL44" s="75">
        <f t="shared" si="160"/>
        <v>540800</v>
      </c>
      <c r="BM44" s="75">
        <f t="shared" si="160"/>
        <v>540800</v>
      </c>
      <c r="BN44" s="75">
        <f t="shared" si="160"/>
        <v>540800</v>
      </c>
      <c r="BO44" s="75">
        <f t="shared" si="160"/>
        <v>540800</v>
      </c>
      <c r="BP44" s="82">
        <f t="shared" si="160"/>
        <v>540800</v>
      </c>
    </row>
    <row r="45" spans="2:68" x14ac:dyDescent="0.25">
      <c r="B45" s="390"/>
      <c r="C45" s="83" t="s">
        <v>132</v>
      </c>
      <c r="D45" s="74">
        <f t="shared" ref="D45:O45" si="161">IF(C46&lt;&gt;0,D24,C45+D24)</f>
        <v>10000</v>
      </c>
      <c r="E45" s="74">
        <f t="shared" si="161"/>
        <v>20000</v>
      </c>
      <c r="F45" s="74">
        <f t="shared" si="161"/>
        <v>10000</v>
      </c>
      <c r="G45" s="74">
        <f t="shared" si="161"/>
        <v>20000</v>
      </c>
      <c r="H45" s="74">
        <f t="shared" si="161"/>
        <v>30000</v>
      </c>
      <c r="I45" s="74">
        <f t="shared" si="161"/>
        <v>40000</v>
      </c>
      <c r="J45" s="74">
        <f t="shared" si="161"/>
        <v>60000</v>
      </c>
      <c r="K45" s="74">
        <f t="shared" si="161"/>
        <v>80000</v>
      </c>
      <c r="L45" s="74">
        <f t="shared" si="161"/>
        <v>20000</v>
      </c>
      <c r="M45" s="74">
        <f t="shared" si="161"/>
        <v>40000</v>
      </c>
      <c r="N45" s="74">
        <f t="shared" si="161"/>
        <v>60000</v>
      </c>
      <c r="O45" s="74">
        <f t="shared" si="161"/>
        <v>80000</v>
      </c>
      <c r="P45" s="74">
        <f>+O45</f>
        <v>80000</v>
      </c>
      <c r="Q45" s="74">
        <f>IF(O46&lt;&gt;0,Q24,O45+Q24)</f>
        <v>100000</v>
      </c>
      <c r="R45" s="74">
        <f t="shared" ref="R45:AB45" si="162">IF(Q46&lt;&gt;0,R24,Q45+R24)</f>
        <v>120000</v>
      </c>
      <c r="S45" s="74">
        <f t="shared" si="162"/>
        <v>140000</v>
      </c>
      <c r="T45" s="74">
        <f t="shared" si="162"/>
        <v>160000</v>
      </c>
      <c r="U45" s="74">
        <f t="shared" si="162"/>
        <v>180000</v>
      </c>
      <c r="V45" s="74">
        <f t="shared" si="162"/>
        <v>200000</v>
      </c>
      <c r="W45" s="74">
        <f t="shared" si="162"/>
        <v>230000</v>
      </c>
      <c r="X45" s="74">
        <f t="shared" si="162"/>
        <v>260000</v>
      </c>
      <c r="Y45" s="74">
        <f t="shared" si="162"/>
        <v>30000</v>
      </c>
      <c r="Z45" s="74">
        <f t="shared" si="162"/>
        <v>60000</v>
      </c>
      <c r="AA45" s="74">
        <f t="shared" si="162"/>
        <v>90000</v>
      </c>
      <c r="AB45" s="74">
        <f t="shared" si="162"/>
        <v>120000</v>
      </c>
      <c r="AC45" s="74">
        <f>+AB45</f>
        <v>120000</v>
      </c>
      <c r="AD45" s="74">
        <f>IF(AB46&lt;&gt;0,AD24,AB45+AD24)</f>
        <v>150000</v>
      </c>
      <c r="AE45" s="74">
        <f t="shared" ref="AE45:AO45" si="163">IF(AD46&lt;&gt;0,AE24,AD45+AE24)</f>
        <v>180000</v>
      </c>
      <c r="AF45" s="74">
        <f t="shared" si="163"/>
        <v>210000</v>
      </c>
      <c r="AG45" s="74">
        <f t="shared" si="163"/>
        <v>240000</v>
      </c>
      <c r="AH45" s="74">
        <f t="shared" si="163"/>
        <v>270000</v>
      </c>
      <c r="AI45" s="74">
        <f t="shared" si="163"/>
        <v>300000</v>
      </c>
      <c r="AJ45" s="74">
        <f t="shared" si="163"/>
        <v>330000</v>
      </c>
      <c r="AK45" s="74">
        <f t="shared" si="163"/>
        <v>360000</v>
      </c>
      <c r="AL45" s="74">
        <f t="shared" si="163"/>
        <v>390000</v>
      </c>
      <c r="AM45" s="74">
        <f t="shared" si="163"/>
        <v>420000</v>
      </c>
      <c r="AN45" s="74">
        <f t="shared" si="163"/>
        <v>450000</v>
      </c>
      <c r="AO45" s="74">
        <f t="shared" si="163"/>
        <v>480000</v>
      </c>
      <c r="AP45" s="74">
        <f>+AO45</f>
        <v>480000</v>
      </c>
      <c r="AQ45" s="255">
        <f>IF(AO46&lt;&gt;0,AQ24,AO45+AQ24)</f>
        <v>510000</v>
      </c>
      <c r="AR45" s="74">
        <f t="shared" ref="AR45:BB45" si="164">IF(AQ46&lt;&gt;0,AR24,AQ45+AR24)</f>
        <v>540000</v>
      </c>
      <c r="AS45" s="74">
        <f t="shared" si="164"/>
        <v>570000</v>
      </c>
      <c r="AT45" s="74">
        <f t="shared" si="164"/>
        <v>600000</v>
      </c>
      <c r="AU45" s="74">
        <f t="shared" si="164"/>
        <v>630000</v>
      </c>
      <c r="AV45" s="74">
        <f t="shared" si="164"/>
        <v>660000</v>
      </c>
      <c r="AW45" s="74">
        <f t="shared" si="164"/>
        <v>690000</v>
      </c>
      <c r="AX45" s="74">
        <f t="shared" si="164"/>
        <v>720000</v>
      </c>
      <c r="AY45" s="74">
        <f t="shared" si="164"/>
        <v>750000</v>
      </c>
      <c r="AZ45" s="74">
        <f t="shared" si="164"/>
        <v>780000</v>
      </c>
      <c r="BA45" s="74">
        <f t="shared" si="164"/>
        <v>810000</v>
      </c>
      <c r="BB45" s="74">
        <f t="shared" si="164"/>
        <v>840000</v>
      </c>
      <c r="BC45" s="74">
        <f>+BB45</f>
        <v>840000</v>
      </c>
      <c r="BD45" s="255">
        <f>IF(BB46&lt;&gt;0,BD24,BB45+BD24)</f>
        <v>870000</v>
      </c>
      <c r="BE45" s="74">
        <f t="shared" ref="BE45:BO45" si="165">IF(BD46&lt;&gt;0,BE24,BD45+BE24)</f>
        <v>900000</v>
      </c>
      <c r="BF45" s="74">
        <f t="shared" si="165"/>
        <v>930000</v>
      </c>
      <c r="BG45" s="74">
        <f t="shared" si="165"/>
        <v>960000</v>
      </c>
      <c r="BH45" s="74">
        <f t="shared" si="165"/>
        <v>990000</v>
      </c>
      <c r="BI45" s="74">
        <f t="shared" si="165"/>
        <v>1020000</v>
      </c>
      <c r="BJ45" s="74">
        <f t="shared" si="165"/>
        <v>1050000</v>
      </c>
      <c r="BK45" s="74">
        <f t="shared" si="165"/>
        <v>1080000</v>
      </c>
      <c r="BL45" s="74">
        <f t="shared" si="165"/>
        <v>1110000</v>
      </c>
      <c r="BM45" s="74">
        <f t="shared" si="165"/>
        <v>1140000</v>
      </c>
      <c r="BN45" s="74">
        <f t="shared" si="165"/>
        <v>1170000</v>
      </c>
      <c r="BO45" s="74">
        <f t="shared" si="165"/>
        <v>1200000</v>
      </c>
      <c r="BP45" s="76">
        <f>+BO45</f>
        <v>1200000</v>
      </c>
    </row>
    <row r="46" spans="2:68" x14ac:dyDescent="0.25">
      <c r="B46" s="390"/>
      <c r="C46" s="83" t="s">
        <v>133</v>
      </c>
      <c r="D46" s="74"/>
      <c r="E46" s="74">
        <f>IF(E45&gt;=(10000*E6),ROUND(E45/10000,0),0)</f>
        <v>2</v>
      </c>
      <c r="F46" s="74">
        <f>IF(F45&gt;=(10000*F6),ROUND(F45/10000,0),0)</f>
        <v>0</v>
      </c>
      <c r="G46" s="74">
        <v>0</v>
      </c>
      <c r="H46" s="74">
        <v>0</v>
      </c>
      <c r="I46" s="74">
        <v>0</v>
      </c>
      <c r="J46" s="74">
        <v>0</v>
      </c>
      <c r="K46" s="74">
        <f>IF(K45&gt;(10000*K6),ROUND(K45/(10000*K6),0),0)</f>
        <v>2</v>
      </c>
      <c r="L46" s="74">
        <f>IF(L45&gt;(10000*L6),ROUND(L45/(10000*L6),0),0)</f>
        <v>0</v>
      </c>
      <c r="M46" s="74">
        <f>IF(M45&gt;(10000*M6),ROUND(M45/(10000*M6),0),0)</f>
        <v>0</v>
      </c>
      <c r="N46" s="74">
        <v>0</v>
      </c>
      <c r="O46" s="74">
        <v>0</v>
      </c>
      <c r="P46" s="74">
        <v>4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2</v>
      </c>
      <c r="Y46" s="74">
        <v>0</v>
      </c>
      <c r="Z46" s="74">
        <v>0</v>
      </c>
      <c r="AA46" s="74">
        <v>0</v>
      </c>
      <c r="AB46" s="74">
        <v>0</v>
      </c>
      <c r="AC46" s="74">
        <v>2</v>
      </c>
      <c r="AD46" s="74">
        <v>0</v>
      </c>
      <c r="AE46" s="74">
        <v>0</v>
      </c>
      <c r="AF46" s="74"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74"/>
      <c r="AQ46" s="255">
        <v>0</v>
      </c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v>0</v>
      </c>
      <c r="AZ46" s="74">
        <v>0</v>
      </c>
      <c r="BA46" s="74">
        <v>0</v>
      </c>
      <c r="BB46" s="74">
        <v>0</v>
      </c>
      <c r="BC46" s="74"/>
      <c r="BD46" s="255">
        <v>0</v>
      </c>
      <c r="BE46" s="74">
        <v>0</v>
      </c>
      <c r="BF46" s="74">
        <v>0</v>
      </c>
      <c r="BG46" s="74">
        <v>0</v>
      </c>
      <c r="BH46" s="74"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v>0</v>
      </c>
      <c r="BP46" s="76"/>
    </row>
    <row r="47" spans="2:68" x14ac:dyDescent="0.25">
      <c r="B47" s="390"/>
      <c r="C47" s="111" t="s">
        <v>313</v>
      </c>
      <c r="D47" s="81">
        <f>+D46*D44</f>
        <v>0</v>
      </c>
      <c r="E47" s="81">
        <f t="shared" ref="E47:AO47" si="166">+E46*E44</f>
        <v>1000000</v>
      </c>
      <c r="F47" s="81">
        <f>+F46*F44</f>
        <v>0</v>
      </c>
      <c r="G47" s="81">
        <f>+G46*G44</f>
        <v>0</v>
      </c>
      <c r="H47" s="81">
        <f>+H46*H44</f>
        <v>0</v>
      </c>
      <c r="I47" s="81">
        <f t="shared" si="166"/>
        <v>0</v>
      </c>
      <c r="J47" s="81">
        <f t="shared" si="166"/>
        <v>0</v>
      </c>
      <c r="K47" s="81">
        <f t="shared" si="166"/>
        <v>1000000</v>
      </c>
      <c r="L47" s="81">
        <f t="shared" si="166"/>
        <v>0</v>
      </c>
      <c r="M47" s="81">
        <f t="shared" si="166"/>
        <v>0</v>
      </c>
      <c r="N47" s="81">
        <f t="shared" si="166"/>
        <v>0</v>
      </c>
      <c r="O47" s="81">
        <f t="shared" si="166"/>
        <v>0</v>
      </c>
      <c r="P47" s="81">
        <f>SUM(D47:O47)</f>
        <v>2000000</v>
      </c>
      <c r="Q47" s="81">
        <f t="shared" si="166"/>
        <v>0</v>
      </c>
      <c r="R47" s="81">
        <f t="shared" si="166"/>
        <v>0</v>
      </c>
      <c r="S47" s="81">
        <f t="shared" si="166"/>
        <v>0</v>
      </c>
      <c r="T47" s="81">
        <f t="shared" si="166"/>
        <v>0</v>
      </c>
      <c r="U47" s="81">
        <f t="shared" si="166"/>
        <v>0</v>
      </c>
      <c r="V47" s="81">
        <f t="shared" si="166"/>
        <v>0</v>
      </c>
      <c r="W47" s="81">
        <f t="shared" si="166"/>
        <v>0</v>
      </c>
      <c r="X47" s="81">
        <f>+X46*X44</f>
        <v>1040000</v>
      </c>
      <c r="Y47" s="81">
        <f t="shared" si="166"/>
        <v>0</v>
      </c>
      <c r="Z47" s="81">
        <f t="shared" si="166"/>
        <v>0</v>
      </c>
      <c r="AA47" s="81">
        <f t="shared" si="166"/>
        <v>0</v>
      </c>
      <c r="AB47" s="81">
        <f t="shared" si="166"/>
        <v>0</v>
      </c>
      <c r="AC47" s="81">
        <f>SUM(Q47:AB47)</f>
        <v>1040000</v>
      </c>
      <c r="AD47" s="81">
        <f t="shared" si="166"/>
        <v>0</v>
      </c>
      <c r="AE47" s="81">
        <f t="shared" si="166"/>
        <v>0</v>
      </c>
      <c r="AF47" s="81">
        <f t="shared" si="166"/>
        <v>0</v>
      </c>
      <c r="AG47" s="81">
        <f t="shared" si="166"/>
        <v>0</v>
      </c>
      <c r="AH47" s="81">
        <f t="shared" si="166"/>
        <v>0</v>
      </c>
      <c r="AI47" s="81">
        <f t="shared" si="166"/>
        <v>0</v>
      </c>
      <c r="AJ47" s="81">
        <f t="shared" si="166"/>
        <v>0</v>
      </c>
      <c r="AK47" s="81">
        <f t="shared" si="166"/>
        <v>0</v>
      </c>
      <c r="AL47" s="81">
        <f t="shared" si="166"/>
        <v>0</v>
      </c>
      <c r="AM47" s="81">
        <f t="shared" si="166"/>
        <v>0</v>
      </c>
      <c r="AN47" s="81">
        <f t="shared" si="166"/>
        <v>0</v>
      </c>
      <c r="AO47" s="81">
        <f t="shared" si="166"/>
        <v>0</v>
      </c>
      <c r="AP47" s="81">
        <f>SUM(AD47:AO47)</f>
        <v>0</v>
      </c>
      <c r="AQ47" s="256">
        <f t="shared" ref="AQ47:BB47" si="167">+AQ46*AQ44</f>
        <v>0</v>
      </c>
      <c r="AR47" s="81">
        <f t="shared" si="167"/>
        <v>0</v>
      </c>
      <c r="AS47" s="81">
        <f t="shared" si="167"/>
        <v>0</v>
      </c>
      <c r="AT47" s="81">
        <f t="shared" si="167"/>
        <v>0</v>
      </c>
      <c r="AU47" s="81">
        <f t="shared" si="167"/>
        <v>0</v>
      </c>
      <c r="AV47" s="81">
        <f t="shared" si="167"/>
        <v>0</v>
      </c>
      <c r="AW47" s="81">
        <f t="shared" si="167"/>
        <v>0</v>
      </c>
      <c r="AX47" s="81">
        <f t="shared" si="167"/>
        <v>0</v>
      </c>
      <c r="AY47" s="81">
        <f t="shared" si="167"/>
        <v>0</v>
      </c>
      <c r="AZ47" s="81">
        <f t="shared" si="167"/>
        <v>0</v>
      </c>
      <c r="BA47" s="81">
        <f t="shared" si="167"/>
        <v>0</v>
      </c>
      <c r="BB47" s="81">
        <f t="shared" si="167"/>
        <v>0</v>
      </c>
      <c r="BC47" s="81">
        <f>SUM(AQ47:BB47)</f>
        <v>0</v>
      </c>
      <c r="BD47" s="256">
        <f t="shared" ref="BD47:BO47" si="168">+BD46*BD44</f>
        <v>0</v>
      </c>
      <c r="BE47" s="81">
        <f t="shared" si="168"/>
        <v>0</v>
      </c>
      <c r="BF47" s="81">
        <f t="shared" si="168"/>
        <v>0</v>
      </c>
      <c r="BG47" s="81">
        <f t="shared" si="168"/>
        <v>0</v>
      </c>
      <c r="BH47" s="81">
        <f t="shared" si="168"/>
        <v>0</v>
      </c>
      <c r="BI47" s="81">
        <f t="shared" si="168"/>
        <v>0</v>
      </c>
      <c r="BJ47" s="81">
        <f t="shared" si="168"/>
        <v>0</v>
      </c>
      <c r="BK47" s="81">
        <f t="shared" si="168"/>
        <v>0</v>
      </c>
      <c r="BL47" s="81">
        <f t="shared" si="168"/>
        <v>0</v>
      </c>
      <c r="BM47" s="81">
        <f t="shared" si="168"/>
        <v>0</v>
      </c>
      <c r="BN47" s="81">
        <f t="shared" si="168"/>
        <v>0</v>
      </c>
      <c r="BO47" s="81">
        <f t="shared" si="168"/>
        <v>0</v>
      </c>
      <c r="BP47" s="101">
        <f>SUM(BD47:BO47)</f>
        <v>0</v>
      </c>
    </row>
    <row r="48" spans="2:68" x14ac:dyDescent="0.25">
      <c r="B48" s="390"/>
      <c r="C48" s="83" t="s">
        <v>130</v>
      </c>
      <c r="D48" s="102">
        <v>1000000</v>
      </c>
      <c r="E48" s="74">
        <f t="shared" ref="E48:P48" si="169">+D48</f>
        <v>1000000</v>
      </c>
      <c r="F48" s="74">
        <f t="shared" si="169"/>
        <v>1000000</v>
      </c>
      <c r="G48" s="74">
        <f t="shared" si="169"/>
        <v>1000000</v>
      </c>
      <c r="H48" s="74">
        <f t="shared" si="169"/>
        <v>1000000</v>
      </c>
      <c r="I48" s="74">
        <f t="shared" si="169"/>
        <v>1000000</v>
      </c>
      <c r="J48" s="74">
        <f t="shared" si="169"/>
        <v>1000000</v>
      </c>
      <c r="K48" s="74">
        <f t="shared" si="169"/>
        <v>1000000</v>
      </c>
      <c r="L48" s="74">
        <f t="shared" si="169"/>
        <v>1000000</v>
      </c>
      <c r="M48" s="74">
        <f t="shared" si="169"/>
        <v>1000000</v>
      </c>
      <c r="N48" s="74">
        <f t="shared" si="169"/>
        <v>1000000</v>
      </c>
      <c r="O48" s="74">
        <f t="shared" si="169"/>
        <v>1000000</v>
      </c>
      <c r="P48" s="75">
        <f t="shared" si="169"/>
        <v>1000000</v>
      </c>
      <c r="Q48" s="75">
        <f>+O48*(1+O35)</f>
        <v>1040000</v>
      </c>
      <c r="R48" s="75">
        <f t="shared" ref="R48:AC48" si="170">+Q48</f>
        <v>1040000</v>
      </c>
      <c r="S48" s="75">
        <f t="shared" si="170"/>
        <v>1040000</v>
      </c>
      <c r="T48" s="75">
        <f t="shared" si="170"/>
        <v>1040000</v>
      </c>
      <c r="U48" s="75">
        <f t="shared" si="170"/>
        <v>1040000</v>
      </c>
      <c r="V48" s="75">
        <f t="shared" si="170"/>
        <v>1040000</v>
      </c>
      <c r="W48" s="75">
        <f t="shared" si="170"/>
        <v>1040000</v>
      </c>
      <c r="X48" s="75">
        <f t="shared" si="170"/>
        <v>1040000</v>
      </c>
      <c r="Y48" s="75">
        <f t="shared" si="170"/>
        <v>1040000</v>
      </c>
      <c r="Z48" s="75">
        <f t="shared" si="170"/>
        <v>1040000</v>
      </c>
      <c r="AA48" s="75">
        <f t="shared" si="170"/>
        <v>1040000</v>
      </c>
      <c r="AB48" s="75">
        <f t="shared" si="170"/>
        <v>1040000</v>
      </c>
      <c r="AC48" s="75">
        <f t="shared" si="170"/>
        <v>1040000</v>
      </c>
      <c r="AD48" s="75">
        <f>+AB48*(1+AB35)</f>
        <v>1081600</v>
      </c>
      <c r="AE48" s="75">
        <f t="shared" ref="AE48:AP48" si="171">+AD48</f>
        <v>1081600</v>
      </c>
      <c r="AF48" s="75">
        <f t="shared" si="171"/>
        <v>1081600</v>
      </c>
      <c r="AG48" s="75">
        <f t="shared" si="171"/>
        <v>1081600</v>
      </c>
      <c r="AH48" s="75">
        <f t="shared" si="171"/>
        <v>1081600</v>
      </c>
      <c r="AI48" s="75">
        <f t="shared" si="171"/>
        <v>1081600</v>
      </c>
      <c r="AJ48" s="75">
        <f t="shared" si="171"/>
        <v>1081600</v>
      </c>
      <c r="AK48" s="75">
        <f t="shared" si="171"/>
        <v>1081600</v>
      </c>
      <c r="AL48" s="75">
        <f t="shared" si="171"/>
        <v>1081600</v>
      </c>
      <c r="AM48" s="75">
        <f t="shared" si="171"/>
        <v>1081600</v>
      </c>
      <c r="AN48" s="75">
        <f t="shared" si="171"/>
        <v>1081600</v>
      </c>
      <c r="AO48" s="75">
        <f t="shared" si="171"/>
        <v>1081600</v>
      </c>
      <c r="AP48" s="75">
        <f t="shared" si="171"/>
        <v>1081600</v>
      </c>
      <c r="AQ48" s="254">
        <f>+AO48*(1+AO35)</f>
        <v>1081600</v>
      </c>
      <c r="AR48" s="75">
        <f t="shared" ref="AR48:BC48" si="172">+AQ48</f>
        <v>1081600</v>
      </c>
      <c r="AS48" s="75">
        <f t="shared" si="172"/>
        <v>1081600</v>
      </c>
      <c r="AT48" s="75">
        <f t="shared" si="172"/>
        <v>1081600</v>
      </c>
      <c r="AU48" s="75">
        <f t="shared" si="172"/>
        <v>1081600</v>
      </c>
      <c r="AV48" s="75">
        <f t="shared" si="172"/>
        <v>1081600</v>
      </c>
      <c r="AW48" s="75">
        <f t="shared" si="172"/>
        <v>1081600</v>
      </c>
      <c r="AX48" s="75">
        <f t="shared" si="172"/>
        <v>1081600</v>
      </c>
      <c r="AY48" s="75">
        <f t="shared" si="172"/>
        <v>1081600</v>
      </c>
      <c r="AZ48" s="75">
        <f t="shared" si="172"/>
        <v>1081600</v>
      </c>
      <c r="BA48" s="75">
        <f t="shared" si="172"/>
        <v>1081600</v>
      </c>
      <c r="BB48" s="75">
        <f t="shared" si="172"/>
        <v>1081600</v>
      </c>
      <c r="BC48" s="75">
        <f t="shared" si="172"/>
        <v>1081600</v>
      </c>
      <c r="BD48" s="254">
        <f>+BB48*(1+BB35)</f>
        <v>1081600</v>
      </c>
      <c r="BE48" s="75">
        <f t="shared" ref="BE48:BP48" si="173">+BD48</f>
        <v>1081600</v>
      </c>
      <c r="BF48" s="75">
        <f t="shared" si="173"/>
        <v>1081600</v>
      </c>
      <c r="BG48" s="75">
        <f t="shared" si="173"/>
        <v>1081600</v>
      </c>
      <c r="BH48" s="75">
        <f t="shared" si="173"/>
        <v>1081600</v>
      </c>
      <c r="BI48" s="75">
        <f t="shared" si="173"/>
        <v>1081600</v>
      </c>
      <c r="BJ48" s="75">
        <f t="shared" si="173"/>
        <v>1081600</v>
      </c>
      <c r="BK48" s="75">
        <f t="shared" si="173"/>
        <v>1081600</v>
      </c>
      <c r="BL48" s="75">
        <f t="shared" si="173"/>
        <v>1081600</v>
      </c>
      <c r="BM48" s="75">
        <f t="shared" si="173"/>
        <v>1081600</v>
      </c>
      <c r="BN48" s="75">
        <f t="shared" si="173"/>
        <v>1081600</v>
      </c>
      <c r="BO48" s="75">
        <f t="shared" si="173"/>
        <v>1081600</v>
      </c>
      <c r="BP48" s="82">
        <f t="shared" si="173"/>
        <v>1081600</v>
      </c>
    </row>
    <row r="49" spans="2:68" x14ac:dyDescent="0.25">
      <c r="B49" s="390"/>
      <c r="C49" s="83" t="s">
        <v>132</v>
      </c>
      <c r="D49" s="74">
        <f t="shared" ref="D49:O49" si="174">IF(C50&lt;&gt;0,D24,C49+D24)</f>
        <v>10000</v>
      </c>
      <c r="E49" s="74">
        <f t="shared" si="174"/>
        <v>20000</v>
      </c>
      <c r="F49" s="74">
        <f t="shared" si="174"/>
        <v>30000</v>
      </c>
      <c r="G49" s="74">
        <f t="shared" si="174"/>
        <v>40000</v>
      </c>
      <c r="H49" s="74">
        <f t="shared" si="174"/>
        <v>10000</v>
      </c>
      <c r="I49" s="74">
        <f t="shared" si="174"/>
        <v>20000</v>
      </c>
      <c r="J49" s="74">
        <f t="shared" si="174"/>
        <v>40000</v>
      </c>
      <c r="K49" s="74">
        <f t="shared" si="174"/>
        <v>60000</v>
      </c>
      <c r="L49" s="74">
        <f t="shared" si="174"/>
        <v>80000</v>
      </c>
      <c r="M49" s="74">
        <f t="shared" si="174"/>
        <v>100000</v>
      </c>
      <c r="N49" s="74">
        <f t="shared" si="174"/>
        <v>20000</v>
      </c>
      <c r="O49" s="74">
        <f t="shared" si="174"/>
        <v>40000</v>
      </c>
      <c r="P49" s="74">
        <f>+O49</f>
        <v>40000</v>
      </c>
      <c r="Q49" s="74">
        <f>IF(O50&lt;&gt;0,Q24,O49+Q24)</f>
        <v>60000</v>
      </c>
      <c r="R49" s="74">
        <f t="shared" ref="R49:AB49" si="175">IF(Q50&lt;&gt;0,R24,Q49+R24)</f>
        <v>80000</v>
      </c>
      <c r="S49" s="74">
        <f t="shared" si="175"/>
        <v>100000</v>
      </c>
      <c r="T49" s="74">
        <f t="shared" si="175"/>
        <v>120000</v>
      </c>
      <c r="U49" s="74">
        <f t="shared" si="175"/>
        <v>140000</v>
      </c>
      <c r="V49" s="74">
        <f t="shared" si="175"/>
        <v>160000</v>
      </c>
      <c r="W49" s="74">
        <f t="shared" si="175"/>
        <v>190000</v>
      </c>
      <c r="X49" s="74">
        <f t="shared" si="175"/>
        <v>220000</v>
      </c>
      <c r="Y49" s="74">
        <f t="shared" si="175"/>
        <v>250000</v>
      </c>
      <c r="Z49" s="74">
        <f t="shared" si="175"/>
        <v>280000</v>
      </c>
      <c r="AA49" s="74">
        <f t="shared" si="175"/>
        <v>30000</v>
      </c>
      <c r="AB49" s="74">
        <f t="shared" si="175"/>
        <v>60000</v>
      </c>
      <c r="AC49" s="74">
        <f>+AB49</f>
        <v>60000</v>
      </c>
      <c r="AD49" s="74">
        <f>IF(AB50&lt;&gt;0,AD24,AB49+AD24)</f>
        <v>90000</v>
      </c>
      <c r="AE49" s="74">
        <f t="shared" ref="AE49:AO49" si="176">IF(AD50&lt;&gt;0,AE24,AD49+AE24)</f>
        <v>120000</v>
      </c>
      <c r="AF49" s="74">
        <f t="shared" si="176"/>
        <v>150000</v>
      </c>
      <c r="AG49" s="74">
        <f t="shared" si="176"/>
        <v>180000</v>
      </c>
      <c r="AH49" s="74">
        <f t="shared" si="176"/>
        <v>210000</v>
      </c>
      <c r="AI49" s="74">
        <f t="shared" si="176"/>
        <v>240000</v>
      </c>
      <c r="AJ49" s="74">
        <f t="shared" si="176"/>
        <v>270000</v>
      </c>
      <c r="AK49" s="74">
        <f t="shared" si="176"/>
        <v>300000</v>
      </c>
      <c r="AL49" s="74">
        <f t="shared" si="176"/>
        <v>330000</v>
      </c>
      <c r="AM49" s="74">
        <f t="shared" si="176"/>
        <v>360000</v>
      </c>
      <c r="AN49" s="74">
        <f t="shared" si="176"/>
        <v>390000</v>
      </c>
      <c r="AO49" s="74">
        <f t="shared" si="176"/>
        <v>420000</v>
      </c>
      <c r="AP49" s="74">
        <f>+AO49</f>
        <v>420000</v>
      </c>
      <c r="AQ49" s="255">
        <f>IF(AO50&lt;&gt;0,AQ24,AO49+AQ24)</f>
        <v>450000</v>
      </c>
      <c r="AR49" s="74">
        <f t="shared" ref="AR49:BB49" si="177">IF(AQ50&lt;&gt;0,AR24,AQ49+AR24)</f>
        <v>480000</v>
      </c>
      <c r="AS49" s="74">
        <f t="shared" si="177"/>
        <v>510000</v>
      </c>
      <c r="AT49" s="74">
        <f t="shared" si="177"/>
        <v>540000</v>
      </c>
      <c r="AU49" s="74">
        <f t="shared" si="177"/>
        <v>570000</v>
      </c>
      <c r="AV49" s="74">
        <f t="shared" si="177"/>
        <v>600000</v>
      </c>
      <c r="AW49" s="74">
        <f t="shared" si="177"/>
        <v>630000</v>
      </c>
      <c r="AX49" s="74">
        <f t="shared" si="177"/>
        <v>660000</v>
      </c>
      <c r="AY49" s="74">
        <f t="shared" si="177"/>
        <v>690000</v>
      </c>
      <c r="AZ49" s="74">
        <f t="shared" si="177"/>
        <v>720000</v>
      </c>
      <c r="BA49" s="74">
        <f t="shared" si="177"/>
        <v>750000</v>
      </c>
      <c r="BB49" s="74">
        <f t="shared" si="177"/>
        <v>780000</v>
      </c>
      <c r="BC49" s="74">
        <f>+BB49</f>
        <v>780000</v>
      </c>
      <c r="BD49" s="255">
        <f>IF(BB50&lt;&gt;0,BD24,BB49+BD24)</f>
        <v>810000</v>
      </c>
      <c r="BE49" s="74">
        <f t="shared" ref="BE49:BO49" si="178">IF(BD50&lt;&gt;0,BE24,BD49+BE24)</f>
        <v>840000</v>
      </c>
      <c r="BF49" s="74">
        <f t="shared" si="178"/>
        <v>870000</v>
      </c>
      <c r="BG49" s="74">
        <f t="shared" si="178"/>
        <v>900000</v>
      </c>
      <c r="BH49" s="74">
        <f t="shared" si="178"/>
        <v>930000</v>
      </c>
      <c r="BI49" s="74">
        <f t="shared" si="178"/>
        <v>960000</v>
      </c>
      <c r="BJ49" s="74">
        <f t="shared" si="178"/>
        <v>990000</v>
      </c>
      <c r="BK49" s="74">
        <f t="shared" si="178"/>
        <v>1020000</v>
      </c>
      <c r="BL49" s="74">
        <f t="shared" si="178"/>
        <v>1050000</v>
      </c>
      <c r="BM49" s="74">
        <f t="shared" si="178"/>
        <v>1080000</v>
      </c>
      <c r="BN49" s="74">
        <f t="shared" si="178"/>
        <v>1110000</v>
      </c>
      <c r="BO49" s="74">
        <f t="shared" si="178"/>
        <v>1140000</v>
      </c>
      <c r="BP49" s="76">
        <f>+BO49</f>
        <v>1140000</v>
      </c>
    </row>
    <row r="50" spans="2:68" x14ac:dyDescent="0.25">
      <c r="B50" s="390"/>
      <c r="C50" s="83" t="s">
        <v>133</v>
      </c>
      <c r="D50" s="74"/>
      <c r="E50" s="74">
        <v>0</v>
      </c>
      <c r="F50" s="74">
        <v>0</v>
      </c>
      <c r="G50" s="74">
        <v>2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2</v>
      </c>
      <c r="N50" s="74">
        <v>0</v>
      </c>
      <c r="O50" s="74">
        <v>0</v>
      </c>
      <c r="P50" s="74">
        <v>4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2</v>
      </c>
      <c r="AA50" s="74">
        <v>0</v>
      </c>
      <c r="AB50" s="74">
        <v>0</v>
      </c>
      <c r="AC50" s="74">
        <v>2</v>
      </c>
      <c r="AD50" s="74">
        <v>0</v>
      </c>
      <c r="AE50" s="74">
        <v>0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74"/>
      <c r="AQ50" s="255">
        <v>0</v>
      </c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v>0</v>
      </c>
      <c r="AZ50" s="74">
        <v>0</v>
      </c>
      <c r="BA50" s="74">
        <v>0</v>
      </c>
      <c r="BB50" s="74">
        <v>0</v>
      </c>
      <c r="BC50" s="74"/>
      <c r="BD50" s="255">
        <v>0</v>
      </c>
      <c r="BE50" s="74">
        <v>0</v>
      </c>
      <c r="BF50" s="74">
        <v>0</v>
      </c>
      <c r="BG50" s="74">
        <v>0</v>
      </c>
      <c r="BH50" s="74"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0</v>
      </c>
      <c r="BO50" s="74">
        <v>0</v>
      </c>
      <c r="BP50" s="76"/>
    </row>
    <row r="51" spans="2:68" x14ac:dyDescent="0.25">
      <c r="B51" s="390"/>
      <c r="C51" s="111" t="s">
        <v>313</v>
      </c>
      <c r="D51" s="81">
        <f>+D50*D48</f>
        <v>0</v>
      </c>
      <c r="E51" s="81">
        <f t="shared" ref="E51:O51" si="179">+E50*E48</f>
        <v>0</v>
      </c>
      <c r="F51" s="81">
        <f t="shared" si="179"/>
        <v>0</v>
      </c>
      <c r="G51" s="81">
        <f>+G50*G48</f>
        <v>2000000</v>
      </c>
      <c r="H51" s="81">
        <f t="shared" si="179"/>
        <v>0</v>
      </c>
      <c r="I51" s="81">
        <f t="shared" si="179"/>
        <v>0</v>
      </c>
      <c r="J51" s="81">
        <f t="shared" si="179"/>
        <v>0</v>
      </c>
      <c r="K51" s="81">
        <f t="shared" si="179"/>
        <v>0</v>
      </c>
      <c r="L51" s="81">
        <f t="shared" si="179"/>
        <v>0</v>
      </c>
      <c r="M51" s="81">
        <f t="shared" si="179"/>
        <v>2000000</v>
      </c>
      <c r="N51" s="81">
        <f t="shared" si="179"/>
        <v>0</v>
      </c>
      <c r="O51" s="81">
        <f t="shared" si="179"/>
        <v>0</v>
      </c>
      <c r="P51" s="81">
        <f>SUM(D51:O51)</f>
        <v>4000000</v>
      </c>
      <c r="Q51" s="81">
        <f t="shared" ref="Q51:AB51" si="180">+Q50*Q48</f>
        <v>0</v>
      </c>
      <c r="R51" s="81">
        <f t="shared" si="180"/>
        <v>0</v>
      </c>
      <c r="S51" s="81">
        <f t="shared" si="180"/>
        <v>0</v>
      </c>
      <c r="T51" s="81">
        <f t="shared" si="180"/>
        <v>0</v>
      </c>
      <c r="U51" s="81">
        <f t="shared" si="180"/>
        <v>0</v>
      </c>
      <c r="V51" s="81">
        <f t="shared" si="180"/>
        <v>0</v>
      </c>
      <c r="W51" s="81">
        <f t="shared" si="180"/>
        <v>0</v>
      </c>
      <c r="X51" s="81">
        <f t="shared" si="180"/>
        <v>0</v>
      </c>
      <c r="Y51" s="81">
        <f t="shared" si="180"/>
        <v>0</v>
      </c>
      <c r="Z51" s="81">
        <f>+Z50*Z48</f>
        <v>2080000</v>
      </c>
      <c r="AA51" s="81">
        <f t="shared" si="180"/>
        <v>0</v>
      </c>
      <c r="AB51" s="81">
        <f t="shared" si="180"/>
        <v>0</v>
      </c>
      <c r="AC51" s="81">
        <f>SUM(Q51:AB51)</f>
        <v>2080000</v>
      </c>
      <c r="AD51" s="81">
        <f t="shared" ref="AD51:AO51" si="181">+AD50*AD48</f>
        <v>0</v>
      </c>
      <c r="AE51" s="81">
        <f t="shared" si="181"/>
        <v>0</v>
      </c>
      <c r="AF51" s="81">
        <f t="shared" si="181"/>
        <v>0</v>
      </c>
      <c r="AG51" s="81">
        <f t="shared" si="181"/>
        <v>0</v>
      </c>
      <c r="AH51" s="81">
        <f t="shared" si="181"/>
        <v>0</v>
      </c>
      <c r="AI51" s="81">
        <f t="shared" si="181"/>
        <v>0</v>
      </c>
      <c r="AJ51" s="81">
        <f t="shared" si="181"/>
        <v>0</v>
      </c>
      <c r="AK51" s="81">
        <f t="shared" si="181"/>
        <v>0</v>
      </c>
      <c r="AL51" s="81">
        <f t="shared" si="181"/>
        <v>0</v>
      </c>
      <c r="AM51" s="81">
        <f t="shared" si="181"/>
        <v>0</v>
      </c>
      <c r="AN51" s="81">
        <f t="shared" si="181"/>
        <v>0</v>
      </c>
      <c r="AO51" s="81">
        <f t="shared" si="181"/>
        <v>0</v>
      </c>
      <c r="AP51" s="81">
        <f>SUM(AD51:AO51)</f>
        <v>0</v>
      </c>
      <c r="AQ51" s="256">
        <f t="shared" ref="AQ51:BB51" si="182">+AQ50*AQ48</f>
        <v>0</v>
      </c>
      <c r="AR51" s="81">
        <f t="shared" si="182"/>
        <v>0</v>
      </c>
      <c r="AS51" s="81">
        <f t="shared" si="182"/>
        <v>0</v>
      </c>
      <c r="AT51" s="81">
        <f t="shared" si="182"/>
        <v>0</v>
      </c>
      <c r="AU51" s="81">
        <f t="shared" si="182"/>
        <v>0</v>
      </c>
      <c r="AV51" s="81">
        <f t="shared" si="182"/>
        <v>0</v>
      </c>
      <c r="AW51" s="81">
        <f t="shared" si="182"/>
        <v>0</v>
      </c>
      <c r="AX51" s="81">
        <f t="shared" si="182"/>
        <v>0</v>
      </c>
      <c r="AY51" s="81">
        <f t="shared" si="182"/>
        <v>0</v>
      </c>
      <c r="AZ51" s="81">
        <f t="shared" si="182"/>
        <v>0</v>
      </c>
      <c r="BA51" s="81">
        <f t="shared" si="182"/>
        <v>0</v>
      </c>
      <c r="BB51" s="81">
        <f t="shared" si="182"/>
        <v>0</v>
      </c>
      <c r="BC51" s="81">
        <f>SUM(AQ51:BB51)</f>
        <v>0</v>
      </c>
      <c r="BD51" s="256">
        <f t="shared" ref="BD51:BO51" si="183">+BD50*BD48</f>
        <v>0</v>
      </c>
      <c r="BE51" s="81">
        <f t="shared" si="183"/>
        <v>0</v>
      </c>
      <c r="BF51" s="81">
        <f t="shared" si="183"/>
        <v>0</v>
      </c>
      <c r="BG51" s="81">
        <f t="shared" si="183"/>
        <v>0</v>
      </c>
      <c r="BH51" s="81">
        <f t="shared" si="183"/>
        <v>0</v>
      </c>
      <c r="BI51" s="81">
        <f t="shared" si="183"/>
        <v>0</v>
      </c>
      <c r="BJ51" s="81">
        <f t="shared" si="183"/>
        <v>0</v>
      </c>
      <c r="BK51" s="81">
        <f t="shared" si="183"/>
        <v>0</v>
      </c>
      <c r="BL51" s="81">
        <f t="shared" si="183"/>
        <v>0</v>
      </c>
      <c r="BM51" s="81">
        <f t="shared" si="183"/>
        <v>0</v>
      </c>
      <c r="BN51" s="81">
        <f t="shared" si="183"/>
        <v>0</v>
      </c>
      <c r="BO51" s="81">
        <f t="shared" si="183"/>
        <v>0</v>
      </c>
      <c r="BP51" s="101">
        <f>SUM(BD51:BO51)</f>
        <v>0</v>
      </c>
    </row>
    <row r="52" spans="2:68" x14ac:dyDescent="0.25">
      <c r="B52" s="390"/>
      <c r="C52" s="83" t="s">
        <v>314</v>
      </c>
      <c r="D52" s="102">
        <v>750000</v>
      </c>
      <c r="E52" s="74">
        <f t="shared" ref="E52:P52" si="184">+D52</f>
        <v>750000</v>
      </c>
      <c r="F52" s="74">
        <f t="shared" si="184"/>
        <v>750000</v>
      </c>
      <c r="G52" s="74">
        <f t="shared" si="184"/>
        <v>750000</v>
      </c>
      <c r="H52" s="74">
        <f t="shared" si="184"/>
        <v>750000</v>
      </c>
      <c r="I52" s="74">
        <f t="shared" si="184"/>
        <v>750000</v>
      </c>
      <c r="J52" s="74">
        <f t="shared" si="184"/>
        <v>750000</v>
      </c>
      <c r="K52" s="74">
        <f t="shared" si="184"/>
        <v>750000</v>
      </c>
      <c r="L52" s="74">
        <f t="shared" si="184"/>
        <v>750000</v>
      </c>
      <c r="M52" s="74">
        <f t="shared" si="184"/>
        <v>750000</v>
      </c>
      <c r="N52" s="74">
        <f t="shared" si="184"/>
        <v>750000</v>
      </c>
      <c r="O52" s="74">
        <f t="shared" si="184"/>
        <v>750000</v>
      </c>
      <c r="P52" s="75">
        <f t="shared" si="184"/>
        <v>750000</v>
      </c>
      <c r="Q52" s="75">
        <f>+O52*(1+O35)</f>
        <v>780000</v>
      </c>
      <c r="R52" s="75">
        <f t="shared" ref="R52:AC52" si="185">+Q52</f>
        <v>780000</v>
      </c>
      <c r="S52" s="75">
        <f t="shared" si="185"/>
        <v>780000</v>
      </c>
      <c r="T52" s="75">
        <f t="shared" si="185"/>
        <v>780000</v>
      </c>
      <c r="U52" s="75">
        <f t="shared" si="185"/>
        <v>780000</v>
      </c>
      <c r="V52" s="75">
        <f t="shared" si="185"/>
        <v>780000</v>
      </c>
      <c r="W52" s="75">
        <f t="shared" si="185"/>
        <v>780000</v>
      </c>
      <c r="X52" s="75">
        <f t="shared" si="185"/>
        <v>780000</v>
      </c>
      <c r="Y52" s="75">
        <f t="shared" si="185"/>
        <v>780000</v>
      </c>
      <c r="Z52" s="75">
        <f t="shared" si="185"/>
        <v>780000</v>
      </c>
      <c r="AA52" s="75">
        <f t="shared" si="185"/>
        <v>780000</v>
      </c>
      <c r="AB52" s="75">
        <f t="shared" si="185"/>
        <v>780000</v>
      </c>
      <c r="AC52" s="75">
        <f t="shared" si="185"/>
        <v>780000</v>
      </c>
      <c r="AD52" s="75">
        <f>+AB52*(1+AB35)</f>
        <v>811200</v>
      </c>
      <c r="AE52" s="75">
        <f t="shared" ref="AE52:AP52" si="186">+AD52</f>
        <v>811200</v>
      </c>
      <c r="AF52" s="75">
        <f t="shared" si="186"/>
        <v>811200</v>
      </c>
      <c r="AG52" s="75">
        <f t="shared" si="186"/>
        <v>811200</v>
      </c>
      <c r="AH52" s="75">
        <f t="shared" si="186"/>
        <v>811200</v>
      </c>
      <c r="AI52" s="75">
        <f t="shared" si="186"/>
        <v>811200</v>
      </c>
      <c r="AJ52" s="75">
        <f t="shared" si="186"/>
        <v>811200</v>
      </c>
      <c r="AK52" s="75">
        <f t="shared" si="186"/>
        <v>811200</v>
      </c>
      <c r="AL52" s="75">
        <f t="shared" si="186"/>
        <v>811200</v>
      </c>
      <c r="AM52" s="75">
        <f t="shared" si="186"/>
        <v>811200</v>
      </c>
      <c r="AN52" s="75">
        <f t="shared" si="186"/>
        <v>811200</v>
      </c>
      <c r="AO52" s="75">
        <f t="shared" si="186"/>
        <v>811200</v>
      </c>
      <c r="AP52" s="75">
        <f t="shared" si="186"/>
        <v>811200</v>
      </c>
      <c r="AQ52" s="254">
        <f>+AO52*(1+AO35)</f>
        <v>811200</v>
      </c>
      <c r="AR52" s="75">
        <f t="shared" ref="AR52:BC52" si="187">+AQ52</f>
        <v>811200</v>
      </c>
      <c r="AS52" s="75">
        <f t="shared" si="187"/>
        <v>811200</v>
      </c>
      <c r="AT52" s="75">
        <f t="shared" si="187"/>
        <v>811200</v>
      </c>
      <c r="AU52" s="75">
        <f t="shared" si="187"/>
        <v>811200</v>
      </c>
      <c r="AV52" s="75">
        <f t="shared" si="187"/>
        <v>811200</v>
      </c>
      <c r="AW52" s="75">
        <f t="shared" si="187"/>
        <v>811200</v>
      </c>
      <c r="AX52" s="75">
        <f t="shared" si="187"/>
        <v>811200</v>
      </c>
      <c r="AY52" s="75">
        <f t="shared" si="187"/>
        <v>811200</v>
      </c>
      <c r="AZ52" s="75">
        <f t="shared" si="187"/>
        <v>811200</v>
      </c>
      <c r="BA52" s="75">
        <f t="shared" si="187"/>
        <v>811200</v>
      </c>
      <c r="BB52" s="75">
        <f t="shared" si="187"/>
        <v>811200</v>
      </c>
      <c r="BC52" s="75">
        <f t="shared" si="187"/>
        <v>811200</v>
      </c>
      <c r="BD52" s="254">
        <f>+BB52*(1+BB35)</f>
        <v>811200</v>
      </c>
      <c r="BE52" s="75">
        <f t="shared" ref="BE52:BP52" si="188">+BD52</f>
        <v>811200</v>
      </c>
      <c r="BF52" s="75">
        <f t="shared" si="188"/>
        <v>811200</v>
      </c>
      <c r="BG52" s="75">
        <f t="shared" si="188"/>
        <v>811200</v>
      </c>
      <c r="BH52" s="75">
        <f t="shared" si="188"/>
        <v>811200</v>
      </c>
      <c r="BI52" s="75">
        <f t="shared" si="188"/>
        <v>811200</v>
      </c>
      <c r="BJ52" s="75">
        <f t="shared" si="188"/>
        <v>811200</v>
      </c>
      <c r="BK52" s="75">
        <f t="shared" si="188"/>
        <v>811200</v>
      </c>
      <c r="BL52" s="75">
        <f t="shared" si="188"/>
        <v>811200</v>
      </c>
      <c r="BM52" s="75">
        <f t="shared" si="188"/>
        <v>811200</v>
      </c>
      <c r="BN52" s="75">
        <f t="shared" si="188"/>
        <v>811200</v>
      </c>
      <c r="BO52" s="75">
        <f t="shared" si="188"/>
        <v>811200</v>
      </c>
      <c r="BP52" s="82">
        <f t="shared" si="188"/>
        <v>811200</v>
      </c>
    </row>
    <row r="53" spans="2:68" x14ac:dyDescent="0.25">
      <c r="B53" s="390"/>
      <c r="C53" s="83" t="s">
        <v>132</v>
      </c>
      <c r="D53" s="74">
        <f t="shared" ref="D53:O53" si="189">IF(C54&lt;&gt;0,D24,C53+D24)</f>
        <v>10000</v>
      </c>
      <c r="E53" s="74">
        <f t="shared" si="189"/>
        <v>20000</v>
      </c>
      <c r="F53" s="74">
        <f t="shared" si="189"/>
        <v>30000</v>
      </c>
      <c r="G53" s="74">
        <f t="shared" si="189"/>
        <v>40000</v>
      </c>
      <c r="H53" s="74">
        <f t="shared" si="189"/>
        <v>50000</v>
      </c>
      <c r="I53" s="74">
        <f t="shared" si="189"/>
        <v>60000</v>
      </c>
      <c r="J53" s="74">
        <f t="shared" si="189"/>
        <v>20000</v>
      </c>
      <c r="K53" s="74">
        <f t="shared" si="189"/>
        <v>40000</v>
      </c>
      <c r="L53" s="74">
        <f t="shared" si="189"/>
        <v>20000</v>
      </c>
      <c r="M53" s="74">
        <f t="shared" si="189"/>
        <v>40000</v>
      </c>
      <c r="N53" s="74">
        <f t="shared" si="189"/>
        <v>20000</v>
      </c>
      <c r="O53" s="74">
        <f t="shared" si="189"/>
        <v>40000</v>
      </c>
      <c r="P53" s="74">
        <f>+O53</f>
        <v>40000</v>
      </c>
      <c r="Q53" s="74">
        <f>IF(O54&lt;&gt;0,Q24,O53+Q24)</f>
        <v>20000</v>
      </c>
      <c r="R53" s="74">
        <f t="shared" ref="R53:AB53" si="190">IF(Q54&lt;&gt;0,R24,Q53+R24)</f>
        <v>40000</v>
      </c>
      <c r="S53" s="74">
        <f t="shared" si="190"/>
        <v>20000</v>
      </c>
      <c r="T53" s="74">
        <f t="shared" si="190"/>
        <v>40000</v>
      </c>
      <c r="U53" s="74">
        <f t="shared" si="190"/>
        <v>20000</v>
      </c>
      <c r="V53" s="74">
        <f t="shared" si="190"/>
        <v>40000</v>
      </c>
      <c r="W53" s="74">
        <f t="shared" si="190"/>
        <v>30000</v>
      </c>
      <c r="X53" s="74">
        <f t="shared" si="190"/>
        <v>60000</v>
      </c>
      <c r="Y53" s="74">
        <f t="shared" si="190"/>
        <v>30000</v>
      </c>
      <c r="Z53" s="74">
        <f t="shared" si="190"/>
        <v>60000</v>
      </c>
      <c r="AA53" s="74">
        <f t="shared" si="190"/>
        <v>30000</v>
      </c>
      <c r="AB53" s="74">
        <f t="shared" si="190"/>
        <v>60000</v>
      </c>
      <c r="AC53" s="74">
        <f>+AB53</f>
        <v>60000</v>
      </c>
      <c r="AD53" s="74">
        <f>IF(AB54&lt;&gt;0,AD24,AB53+AD24)</f>
        <v>30000</v>
      </c>
      <c r="AE53" s="74">
        <f t="shared" ref="AE53:AO53" si="191">IF(AD54&lt;&gt;0,AE24,AD53+AE24)</f>
        <v>60000</v>
      </c>
      <c r="AF53" s="74">
        <f t="shared" si="191"/>
        <v>30000</v>
      </c>
      <c r="AG53" s="74">
        <f t="shared" si="191"/>
        <v>60000</v>
      </c>
      <c r="AH53" s="74">
        <f t="shared" si="191"/>
        <v>30000</v>
      </c>
      <c r="AI53" s="74">
        <f t="shared" si="191"/>
        <v>60000</v>
      </c>
      <c r="AJ53" s="74">
        <f t="shared" si="191"/>
        <v>30000</v>
      </c>
      <c r="AK53" s="74">
        <f t="shared" si="191"/>
        <v>60000</v>
      </c>
      <c r="AL53" s="74">
        <f t="shared" si="191"/>
        <v>30000</v>
      </c>
      <c r="AM53" s="74">
        <f t="shared" si="191"/>
        <v>60000</v>
      </c>
      <c r="AN53" s="74">
        <f t="shared" si="191"/>
        <v>30000</v>
      </c>
      <c r="AO53" s="74">
        <f t="shared" si="191"/>
        <v>60000</v>
      </c>
      <c r="AP53" s="74">
        <f>+AO53</f>
        <v>60000</v>
      </c>
      <c r="AQ53" s="255">
        <f>IF(AO54&lt;&gt;0,AQ24,AO53+AQ24)</f>
        <v>30000</v>
      </c>
      <c r="AR53" s="74">
        <f t="shared" ref="AR53:BB53" si="192">IF(AQ54&lt;&gt;0,AR24,AQ53+AR24)</f>
        <v>60000</v>
      </c>
      <c r="AS53" s="74">
        <f t="shared" si="192"/>
        <v>30000</v>
      </c>
      <c r="AT53" s="74">
        <f t="shared" si="192"/>
        <v>60000</v>
      </c>
      <c r="AU53" s="74">
        <f t="shared" si="192"/>
        <v>30000</v>
      </c>
      <c r="AV53" s="74">
        <f t="shared" si="192"/>
        <v>60000</v>
      </c>
      <c r="AW53" s="74">
        <f t="shared" si="192"/>
        <v>30000</v>
      </c>
      <c r="AX53" s="74">
        <f t="shared" si="192"/>
        <v>60000</v>
      </c>
      <c r="AY53" s="74">
        <f t="shared" si="192"/>
        <v>30000</v>
      </c>
      <c r="AZ53" s="74">
        <f t="shared" si="192"/>
        <v>60000</v>
      </c>
      <c r="BA53" s="74">
        <f t="shared" si="192"/>
        <v>30000</v>
      </c>
      <c r="BB53" s="74">
        <f t="shared" si="192"/>
        <v>60000</v>
      </c>
      <c r="BC53" s="74">
        <f>+BB53</f>
        <v>60000</v>
      </c>
      <c r="BD53" s="255">
        <f>IF(BB54&lt;&gt;0,BD24,BB53+BD24)</f>
        <v>30000</v>
      </c>
      <c r="BE53" s="74">
        <f t="shared" ref="BE53:BO53" si="193">IF(BD54&lt;&gt;0,BE24,BD53+BE24)</f>
        <v>60000</v>
      </c>
      <c r="BF53" s="74">
        <f t="shared" si="193"/>
        <v>30000</v>
      </c>
      <c r="BG53" s="74">
        <f t="shared" si="193"/>
        <v>60000</v>
      </c>
      <c r="BH53" s="74">
        <f t="shared" si="193"/>
        <v>30000</v>
      </c>
      <c r="BI53" s="74">
        <f t="shared" si="193"/>
        <v>60000</v>
      </c>
      <c r="BJ53" s="74">
        <f t="shared" si="193"/>
        <v>30000</v>
      </c>
      <c r="BK53" s="74">
        <f t="shared" si="193"/>
        <v>60000</v>
      </c>
      <c r="BL53" s="74">
        <f t="shared" si="193"/>
        <v>30000</v>
      </c>
      <c r="BM53" s="74">
        <f t="shared" si="193"/>
        <v>60000</v>
      </c>
      <c r="BN53" s="74">
        <f t="shared" si="193"/>
        <v>30000</v>
      </c>
      <c r="BO53" s="74">
        <f t="shared" si="193"/>
        <v>60000</v>
      </c>
      <c r="BP53" s="76">
        <f>+BO53</f>
        <v>60000</v>
      </c>
    </row>
    <row r="54" spans="2:68" x14ac:dyDescent="0.25">
      <c r="B54" s="390"/>
      <c r="C54" s="83" t="s">
        <v>133</v>
      </c>
      <c r="D54" s="74"/>
      <c r="E54" s="74">
        <v>0</v>
      </c>
      <c r="F54" s="74">
        <v>0</v>
      </c>
      <c r="G54" s="74">
        <f>IF(G53&gt;=(20000*G12),ROUND(G53/20000,0),0)</f>
        <v>0</v>
      </c>
      <c r="H54" s="74">
        <v>0</v>
      </c>
      <c r="I54" s="74">
        <v>2</v>
      </c>
      <c r="J54" s="74">
        <v>0</v>
      </c>
      <c r="K54" s="74">
        <v>2</v>
      </c>
      <c r="L54" s="74">
        <v>0</v>
      </c>
      <c r="M54" s="74">
        <v>4</v>
      </c>
      <c r="N54" s="74">
        <v>0</v>
      </c>
      <c r="O54" s="74">
        <v>4</v>
      </c>
      <c r="P54" s="74">
        <v>12</v>
      </c>
      <c r="Q54" s="74">
        <v>0</v>
      </c>
      <c r="R54" s="74">
        <v>4</v>
      </c>
      <c r="S54" s="74">
        <v>0</v>
      </c>
      <c r="T54" s="74">
        <v>4</v>
      </c>
      <c r="U54" s="74">
        <v>0</v>
      </c>
      <c r="V54" s="74">
        <v>4</v>
      </c>
      <c r="W54" s="74">
        <v>0</v>
      </c>
      <c r="X54" s="74">
        <v>4</v>
      </c>
      <c r="Y54" s="74">
        <v>0</v>
      </c>
      <c r="Z54" s="74">
        <v>4</v>
      </c>
      <c r="AA54" s="74">
        <v>0</v>
      </c>
      <c r="AB54" s="74">
        <v>6</v>
      </c>
      <c r="AC54" s="74">
        <v>26</v>
      </c>
      <c r="AD54" s="74">
        <v>0</v>
      </c>
      <c r="AE54" s="74">
        <v>6</v>
      </c>
      <c r="AF54" s="74">
        <v>0</v>
      </c>
      <c r="AG54" s="74">
        <v>6</v>
      </c>
      <c r="AH54" s="74">
        <v>0</v>
      </c>
      <c r="AI54" s="74">
        <v>6</v>
      </c>
      <c r="AJ54" s="74">
        <v>0</v>
      </c>
      <c r="AK54" s="74">
        <v>6</v>
      </c>
      <c r="AL54" s="74">
        <v>0</v>
      </c>
      <c r="AM54" s="74">
        <v>6</v>
      </c>
      <c r="AN54" s="74">
        <v>0</v>
      </c>
      <c r="AO54" s="74">
        <v>6</v>
      </c>
      <c r="AP54" s="74">
        <v>36</v>
      </c>
      <c r="AQ54" s="255">
        <v>0</v>
      </c>
      <c r="AR54" s="74">
        <v>6</v>
      </c>
      <c r="AS54" s="74">
        <v>0</v>
      </c>
      <c r="AT54" s="74">
        <v>6</v>
      </c>
      <c r="AU54" s="74">
        <v>0</v>
      </c>
      <c r="AV54" s="74">
        <v>6</v>
      </c>
      <c r="AW54" s="74">
        <v>0</v>
      </c>
      <c r="AX54" s="74">
        <v>6</v>
      </c>
      <c r="AY54" s="74">
        <v>0</v>
      </c>
      <c r="AZ54" s="74">
        <v>6</v>
      </c>
      <c r="BA54" s="74">
        <v>0</v>
      </c>
      <c r="BB54" s="74">
        <v>6</v>
      </c>
      <c r="BC54" s="74">
        <v>36</v>
      </c>
      <c r="BD54" s="255">
        <v>0</v>
      </c>
      <c r="BE54" s="74">
        <v>6</v>
      </c>
      <c r="BF54" s="74">
        <v>0</v>
      </c>
      <c r="BG54" s="74">
        <v>6</v>
      </c>
      <c r="BH54" s="74">
        <v>0</v>
      </c>
      <c r="BI54" s="74">
        <v>6</v>
      </c>
      <c r="BJ54" s="74">
        <v>0</v>
      </c>
      <c r="BK54" s="74">
        <v>6</v>
      </c>
      <c r="BL54" s="74">
        <v>0</v>
      </c>
      <c r="BM54" s="74">
        <v>6</v>
      </c>
      <c r="BN54" s="74">
        <v>0</v>
      </c>
      <c r="BO54" s="74">
        <v>6</v>
      </c>
      <c r="BP54" s="76">
        <v>36</v>
      </c>
    </row>
    <row r="55" spans="2:68" x14ac:dyDescent="0.25">
      <c r="B55" s="390"/>
      <c r="C55" s="79" t="s">
        <v>313</v>
      </c>
      <c r="D55" s="81">
        <f>+D54*D52</f>
        <v>0</v>
      </c>
      <c r="E55" s="81">
        <f t="shared" ref="E55:O55" si="194">+E54*E52</f>
        <v>0</v>
      </c>
      <c r="F55" s="81">
        <f t="shared" si="194"/>
        <v>0</v>
      </c>
      <c r="G55" s="81">
        <f t="shared" si="194"/>
        <v>0</v>
      </c>
      <c r="H55" s="81">
        <f t="shared" si="194"/>
        <v>0</v>
      </c>
      <c r="I55" s="81">
        <f t="shared" si="194"/>
        <v>1500000</v>
      </c>
      <c r="J55" s="81">
        <f t="shared" si="194"/>
        <v>0</v>
      </c>
      <c r="K55" s="81">
        <f>+K54*K52</f>
        <v>1500000</v>
      </c>
      <c r="L55" s="81">
        <f t="shared" si="194"/>
        <v>0</v>
      </c>
      <c r="M55" s="81">
        <f>+M54*M52</f>
        <v>3000000</v>
      </c>
      <c r="N55" s="81">
        <f t="shared" si="194"/>
        <v>0</v>
      </c>
      <c r="O55" s="81">
        <f t="shared" si="194"/>
        <v>3000000</v>
      </c>
      <c r="P55" s="81">
        <f>SUM(D55:O55)</f>
        <v>9000000</v>
      </c>
      <c r="Q55" s="81">
        <f t="shared" ref="Q55:AA55" si="195">+Q54*Q52</f>
        <v>0</v>
      </c>
      <c r="R55" s="81">
        <f t="shared" si="195"/>
        <v>3120000</v>
      </c>
      <c r="S55" s="81">
        <f t="shared" si="195"/>
        <v>0</v>
      </c>
      <c r="T55" s="81">
        <f>+T54*T52</f>
        <v>3120000</v>
      </c>
      <c r="U55" s="81">
        <f t="shared" si="195"/>
        <v>0</v>
      </c>
      <c r="V55" s="81">
        <f>+V54*V52</f>
        <v>3120000</v>
      </c>
      <c r="W55" s="81">
        <f t="shared" si="195"/>
        <v>0</v>
      </c>
      <c r="X55" s="81">
        <f t="shared" si="195"/>
        <v>3120000</v>
      </c>
      <c r="Y55" s="81">
        <f t="shared" si="195"/>
        <v>0</v>
      </c>
      <c r="Z55" s="81">
        <f>+Z54*Z52</f>
        <v>3120000</v>
      </c>
      <c r="AA55" s="81">
        <f t="shared" si="195"/>
        <v>0</v>
      </c>
      <c r="AB55" s="81">
        <f>+AB54*AB52</f>
        <v>4680000</v>
      </c>
      <c r="AC55" s="81">
        <f>SUM(Q55:AB55)</f>
        <v>20280000</v>
      </c>
      <c r="AD55" s="81">
        <f t="shared" ref="AD55:AN55" si="196">+AD54*AD52</f>
        <v>0</v>
      </c>
      <c r="AE55" s="81">
        <f t="shared" si="196"/>
        <v>4867200</v>
      </c>
      <c r="AF55" s="81">
        <f t="shared" si="196"/>
        <v>0</v>
      </c>
      <c r="AG55" s="81">
        <f>+AG54*AG52</f>
        <v>4867200</v>
      </c>
      <c r="AH55" s="81">
        <f t="shared" si="196"/>
        <v>0</v>
      </c>
      <c r="AI55" s="81">
        <f>+AI54*AI52</f>
        <v>4867200</v>
      </c>
      <c r="AJ55" s="81">
        <f t="shared" si="196"/>
        <v>0</v>
      </c>
      <c r="AK55" s="81">
        <f>+AK54*AK52</f>
        <v>4867200</v>
      </c>
      <c r="AL55" s="81">
        <f t="shared" si="196"/>
        <v>0</v>
      </c>
      <c r="AM55" s="81">
        <f>+AM54*AM52</f>
        <v>4867200</v>
      </c>
      <c r="AN55" s="81">
        <f t="shared" si="196"/>
        <v>0</v>
      </c>
      <c r="AO55" s="81">
        <f>+AO54*AO52</f>
        <v>4867200</v>
      </c>
      <c r="AP55" s="81">
        <f>SUM(AD55:AO55)</f>
        <v>29203200</v>
      </c>
      <c r="AQ55" s="256">
        <f t="shared" ref="AQ55:BB55" si="197">+AQ54*AQ52</f>
        <v>0</v>
      </c>
      <c r="AR55" s="81">
        <f t="shared" si="197"/>
        <v>4867200</v>
      </c>
      <c r="AS55" s="81">
        <f t="shared" si="197"/>
        <v>0</v>
      </c>
      <c r="AT55" s="81">
        <f t="shared" si="197"/>
        <v>4867200</v>
      </c>
      <c r="AU55" s="81">
        <f t="shared" si="197"/>
        <v>0</v>
      </c>
      <c r="AV55" s="81">
        <f t="shared" si="197"/>
        <v>4867200</v>
      </c>
      <c r="AW55" s="81">
        <f t="shared" si="197"/>
        <v>0</v>
      </c>
      <c r="AX55" s="81">
        <f t="shared" si="197"/>
        <v>4867200</v>
      </c>
      <c r="AY55" s="81">
        <f t="shared" si="197"/>
        <v>0</v>
      </c>
      <c r="AZ55" s="81">
        <f t="shared" si="197"/>
        <v>4867200</v>
      </c>
      <c r="BA55" s="81">
        <f t="shared" si="197"/>
        <v>0</v>
      </c>
      <c r="BB55" s="81">
        <f t="shared" si="197"/>
        <v>4867200</v>
      </c>
      <c r="BC55" s="81">
        <f>SUM(AQ55:BB55)</f>
        <v>29203200</v>
      </c>
      <c r="BD55" s="256">
        <f t="shared" ref="BD55:BO55" si="198">+BD54*BD52</f>
        <v>0</v>
      </c>
      <c r="BE55" s="81">
        <f t="shared" si="198"/>
        <v>4867200</v>
      </c>
      <c r="BF55" s="81">
        <f t="shared" si="198"/>
        <v>0</v>
      </c>
      <c r="BG55" s="81">
        <f t="shared" si="198"/>
        <v>4867200</v>
      </c>
      <c r="BH55" s="81">
        <f t="shared" si="198"/>
        <v>0</v>
      </c>
      <c r="BI55" s="81">
        <f t="shared" si="198"/>
        <v>4867200</v>
      </c>
      <c r="BJ55" s="81">
        <f t="shared" si="198"/>
        <v>0</v>
      </c>
      <c r="BK55" s="81">
        <f t="shared" si="198"/>
        <v>4867200</v>
      </c>
      <c r="BL55" s="81">
        <f t="shared" si="198"/>
        <v>0</v>
      </c>
      <c r="BM55" s="81">
        <f t="shared" si="198"/>
        <v>4867200</v>
      </c>
      <c r="BN55" s="81">
        <f t="shared" si="198"/>
        <v>0</v>
      </c>
      <c r="BO55" s="81">
        <f t="shared" si="198"/>
        <v>4867200</v>
      </c>
      <c r="BP55" s="101">
        <f>SUM(BD55:BO55)</f>
        <v>29203200</v>
      </c>
    </row>
    <row r="56" spans="2:68" x14ac:dyDescent="0.25">
      <c r="B56" s="390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256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256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101"/>
    </row>
    <row r="57" spans="2:68" x14ac:dyDescent="0.25">
      <c r="B57" s="390"/>
      <c r="C57" s="58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255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255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6"/>
    </row>
    <row r="58" spans="2:68" x14ac:dyDescent="0.25">
      <c r="B58" s="390"/>
      <c r="C58" s="79" t="s">
        <v>194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2000000</v>
      </c>
      <c r="P58" s="81">
        <f>SUM(D58:O58)</f>
        <v>2000000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2000000</v>
      </c>
      <c r="W58" s="81">
        <v>0</v>
      </c>
      <c r="X58" s="81">
        <v>0</v>
      </c>
      <c r="Y58" s="81">
        <v>0</v>
      </c>
      <c r="Z58" s="81">
        <v>0</v>
      </c>
      <c r="AA58" s="81">
        <v>0</v>
      </c>
      <c r="AB58" s="81">
        <v>2000000</v>
      </c>
      <c r="AC58" s="81">
        <f>SUM(Q58:AB58)</f>
        <v>4000000</v>
      </c>
      <c r="AD58" s="81">
        <v>0</v>
      </c>
      <c r="AE58" s="81">
        <v>0</v>
      </c>
      <c r="AF58" s="81">
        <v>0</v>
      </c>
      <c r="AG58" s="81">
        <v>0</v>
      </c>
      <c r="AH58" s="81">
        <v>0</v>
      </c>
      <c r="AI58" s="81">
        <v>4000000</v>
      </c>
      <c r="AJ58" s="81">
        <v>0</v>
      </c>
      <c r="AK58" s="81">
        <v>0</v>
      </c>
      <c r="AL58" s="81">
        <v>0</v>
      </c>
      <c r="AM58" s="81">
        <v>0</v>
      </c>
      <c r="AN58" s="81">
        <v>0</v>
      </c>
      <c r="AO58" s="81">
        <v>2000000</v>
      </c>
      <c r="AP58" s="81">
        <f>SUM(AD58:AO58)</f>
        <v>6000000</v>
      </c>
      <c r="AQ58" s="256">
        <v>0</v>
      </c>
      <c r="AR58" s="81">
        <v>0</v>
      </c>
      <c r="AS58" s="81">
        <v>0</v>
      </c>
      <c r="AT58" s="81">
        <v>0</v>
      </c>
      <c r="AU58" s="81">
        <v>0</v>
      </c>
      <c r="AV58" s="81">
        <v>4000000</v>
      </c>
      <c r="AW58" s="81">
        <v>0</v>
      </c>
      <c r="AX58" s="81">
        <v>0</v>
      </c>
      <c r="AY58" s="81">
        <v>0</v>
      </c>
      <c r="AZ58" s="81">
        <v>0</v>
      </c>
      <c r="BA58" s="81">
        <v>0</v>
      </c>
      <c r="BB58" s="81">
        <v>2000000</v>
      </c>
      <c r="BC58" s="81">
        <f>SUM(AQ58:BB58)</f>
        <v>6000000</v>
      </c>
      <c r="BD58" s="256">
        <v>0</v>
      </c>
      <c r="BE58" s="81">
        <v>0</v>
      </c>
      <c r="BF58" s="81">
        <v>0</v>
      </c>
      <c r="BG58" s="81">
        <v>0</v>
      </c>
      <c r="BH58" s="81">
        <v>0</v>
      </c>
      <c r="BI58" s="81">
        <v>4000000</v>
      </c>
      <c r="BJ58" s="81">
        <v>0</v>
      </c>
      <c r="BK58" s="81">
        <v>0</v>
      </c>
      <c r="BL58" s="81">
        <v>0</v>
      </c>
      <c r="BM58" s="81">
        <v>0</v>
      </c>
      <c r="BN58" s="81">
        <v>0</v>
      </c>
      <c r="BO58" s="81">
        <v>2000000</v>
      </c>
      <c r="BP58" s="101">
        <f>SUM(BD58:BO58)</f>
        <v>6000000</v>
      </c>
    </row>
    <row r="59" spans="2:68" x14ac:dyDescent="0.25">
      <c r="B59" s="390"/>
      <c r="C59" s="58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255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255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6"/>
    </row>
    <row r="60" spans="2:68" x14ac:dyDescent="0.25">
      <c r="B60" s="391"/>
      <c r="C60" s="79" t="s">
        <v>210</v>
      </c>
      <c r="D60" s="81">
        <f t="shared" ref="D60:O60" si="199">+D30+D33+D39+D43+D47+D51+D55+D58</f>
        <v>702000</v>
      </c>
      <c r="E60" s="81">
        <f t="shared" si="199"/>
        <v>1702000</v>
      </c>
      <c r="F60" s="81">
        <f t="shared" si="199"/>
        <v>702000</v>
      </c>
      <c r="G60" s="81">
        <f t="shared" si="199"/>
        <v>2702000</v>
      </c>
      <c r="H60" s="81">
        <f t="shared" si="199"/>
        <v>702000</v>
      </c>
      <c r="I60" s="81">
        <f t="shared" si="199"/>
        <v>2202000</v>
      </c>
      <c r="J60" s="81">
        <f t="shared" si="199"/>
        <v>1404000</v>
      </c>
      <c r="K60" s="81">
        <f t="shared" si="199"/>
        <v>3904000</v>
      </c>
      <c r="L60" s="81">
        <f t="shared" si="199"/>
        <v>1404000</v>
      </c>
      <c r="M60" s="81">
        <f t="shared" si="199"/>
        <v>6404000</v>
      </c>
      <c r="N60" s="81">
        <f t="shared" si="199"/>
        <v>1404000</v>
      </c>
      <c r="O60" s="81">
        <f t="shared" si="199"/>
        <v>6404000</v>
      </c>
      <c r="P60" s="81">
        <f>SUM(D60:O60)</f>
        <v>29636000</v>
      </c>
      <c r="Q60" s="81">
        <f t="shared" ref="Q60:AB60" si="200">+Q30+Q33+Q39+Q43+Q47+Q51+Q55+Q58</f>
        <v>1460160</v>
      </c>
      <c r="R60" s="81">
        <f t="shared" si="200"/>
        <v>4580160</v>
      </c>
      <c r="S60" s="81">
        <f t="shared" si="200"/>
        <v>1460160</v>
      </c>
      <c r="T60" s="81">
        <f t="shared" si="200"/>
        <v>4580160</v>
      </c>
      <c r="U60" s="81">
        <f t="shared" si="200"/>
        <v>1460160</v>
      </c>
      <c r="V60" s="81">
        <f t="shared" si="200"/>
        <v>6580160</v>
      </c>
      <c r="W60" s="81">
        <f t="shared" si="200"/>
        <v>2190240</v>
      </c>
      <c r="X60" s="81">
        <f t="shared" si="200"/>
        <v>6350240</v>
      </c>
      <c r="Y60" s="81">
        <f t="shared" si="200"/>
        <v>2190240</v>
      </c>
      <c r="Z60" s="81">
        <f t="shared" si="200"/>
        <v>7390240</v>
      </c>
      <c r="AA60" s="81">
        <f t="shared" si="200"/>
        <v>2190240</v>
      </c>
      <c r="AB60" s="81">
        <f t="shared" si="200"/>
        <v>8870240</v>
      </c>
      <c r="AC60" s="81">
        <f>SUM(Q60:AB60)</f>
        <v>49302400</v>
      </c>
      <c r="AD60" s="81">
        <f t="shared" ref="AD60:AO60" si="201">+AD30+AD33+AD39+AD43+AD47+AD51+AD55+AD58</f>
        <v>2277847.2000000002</v>
      </c>
      <c r="AE60" s="81">
        <f t="shared" si="201"/>
        <v>7145047.2000000002</v>
      </c>
      <c r="AF60" s="81">
        <f t="shared" si="201"/>
        <v>2277847.2000000002</v>
      </c>
      <c r="AG60" s="81">
        <f t="shared" si="201"/>
        <v>7145047.2000000002</v>
      </c>
      <c r="AH60" s="81">
        <f t="shared" si="201"/>
        <v>2277847.2000000002</v>
      </c>
      <c r="AI60" s="81">
        <f t="shared" si="201"/>
        <v>11145047.199999999</v>
      </c>
      <c r="AJ60" s="81">
        <f t="shared" si="201"/>
        <v>2277847.2000000002</v>
      </c>
      <c r="AK60" s="81">
        <f t="shared" si="201"/>
        <v>7145047.2000000002</v>
      </c>
      <c r="AL60" s="81">
        <f t="shared" si="201"/>
        <v>2277847.2000000002</v>
      </c>
      <c r="AM60" s="81">
        <f t="shared" si="201"/>
        <v>7145047.2000000002</v>
      </c>
      <c r="AN60" s="81">
        <f t="shared" si="201"/>
        <v>2277847.2000000002</v>
      </c>
      <c r="AO60" s="81">
        <f t="shared" si="201"/>
        <v>9145047.1999999993</v>
      </c>
      <c r="AP60" s="81">
        <f>SUM(AD60:AO60)</f>
        <v>62537366.400000006</v>
      </c>
      <c r="AQ60" s="256">
        <f t="shared" ref="AQ60:BB60" si="202">+AQ30+AQ33+AQ39+AQ43+AQ47+AQ51+AQ55+AQ58</f>
        <v>2277847.2000000002</v>
      </c>
      <c r="AR60" s="81">
        <f t="shared" si="202"/>
        <v>7145047.2000000002</v>
      </c>
      <c r="AS60" s="81">
        <f t="shared" si="202"/>
        <v>2277847.2000000002</v>
      </c>
      <c r="AT60" s="81">
        <f t="shared" si="202"/>
        <v>7145047.2000000002</v>
      </c>
      <c r="AU60" s="81">
        <f t="shared" si="202"/>
        <v>2277847.2000000002</v>
      </c>
      <c r="AV60" s="81">
        <f t="shared" si="202"/>
        <v>11145047.199999999</v>
      </c>
      <c r="AW60" s="81">
        <f t="shared" si="202"/>
        <v>2277847.2000000002</v>
      </c>
      <c r="AX60" s="81">
        <f t="shared" si="202"/>
        <v>7145047.2000000002</v>
      </c>
      <c r="AY60" s="81">
        <f t="shared" si="202"/>
        <v>2277847.2000000002</v>
      </c>
      <c r="AZ60" s="81">
        <f t="shared" si="202"/>
        <v>7145047.2000000002</v>
      </c>
      <c r="BA60" s="81">
        <f t="shared" si="202"/>
        <v>2277847.2000000002</v>
      </c>
      <c r="BB60" s="81">
        <f t="shared" si="202"/>
        <v>9145047.1999999993</v>
      </c>
      <c r="BC60" s="81">
        <f>SUM(AQ60:BB60)</f>
        <v>62537366.400000006</v>
      </c>
      <c r="BD60" s="256">
        <f t="shared" ref="BD60:BO60" si="203">+BD30+BD33+BD39+BD43+BD47+BD51+BD55+BD58</f>
        <v>2277847.2000000002</v>
      </c>
      <c r="BE60" s="81">
        <f t="shared" si="203"/>
        <v>7145047.2000000002</v>
      </c>
      <c r="BF60" s="81">
        <f t="shared" si="203"/>
        <v>2277847.2000000002</v>
      </c>
      <c r="BG60" s="81">
        <f t="shared" si="203"/>
        <v>7145047.2000000002</v>
      </c>
      <c r="BH60" s="81">
        <f t="shared" si="203"/>
        <v>2277847.2000000002</v>
      </c>
      <c r="BI60" s="81">
        <f t="shared" si="203"/>
        <v>11145047.199999999</v>
      </c>
      <c r="BJ60" s="81">
        <f t="shared" si="203"/>
        <v>2277847.2000000002</v>
      </c>
      <c r="BK60" s="81">
        <f t="shared" si="203"/>
        <v>7145047.2000000002</v>
      </c>
      <c r="BL60" s="81">
        <f t="shared" si="203"/>
        <v>2277847.2000000002</v>
      </c>
      <c r="BM60" s="81">
        <f t="shared" si="203"/>
        <v>7145047.2000000002</v>
      </c>
      <c r="BN60" s="81">
        <f t="shared" si="203"/>
        <v>2277847.2000000002</v>
      </c>
      <c r="BO60" s="81">
        <f t="shared" si="203"/>
        <v>9145047.1999999993</v>
      </c>
      <c r="BP60" s="101">
        <f>SUM(BD60:BO60)</f>
        <v>62537366.400000006</v>
      </c>
    </row>
    <row r="61" spans="2:68" x14ac:dyDescent="0.25">
      <c r="B61" s="54"/>
      <c r="C61" s="8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255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255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6"/>
    </row>
    <row r="62" spans="2:68" x14ac:dyDescent="0.25">
      <c r="B62" s="392" t="s">
        <v>209</v>
      </c>
      <c r="C62" s="106" t="s">
        <v>196</v>
      </c>
      <c r="D62" s="102">
        <v>0</v>
      </c>
      <c r="E62" s="74">
        <f t="shared" ref="E62:O62" si="204">+D62</f>
        <v>0</v>
      </c>
      <c r="F62" s="74">
        <f t="shared" si="204"/>
        <v>0</v>
      </c>
      <c r="G62" s="74">
        <f t="shared" si="204"/>
        <v>0</v>
      </c>
      <c r="H62" s="74">
        <f t="shared" si="204"/>
        <v>0</v>
      </c>
      <c r="I62" s="74">
        <f t="shared" si="204"/>
        <v>0</v>
      </c>
      <c r="J62" s="74">
        <f t="shared" si="204"/>
        <v>0</v>
      </c>
      <c r="K62" s="74">
        <f t="shared" si="204"/>
        <v>0</v>
      </c>
      <c r="L62" s="74">
        <f t="shared" si="204"/>
        <v>0</v>
      </c>
      <c r="M62" s="74">
        <f t="shared" si="204"/>
        <v>0</v>
      </c>
      <c r="N62" s="74">
        <f t="shared" si="204"/>
        <v>0</v>
      </c>
      <c r="O62" s="74">
        <f t="shared" si="204"/>
        <v>0</v>
      </c>
      <c r="P62" s="75"/>
      <c r="Q62" s="75">
        <f>ROUND(+O62*(1+O63),0)</f>
        <v>0</v>
      </c>
      <c r="R62" s="75">
        <f t="shared" ref="R62:AB62" si="205">+Q62</f>
        <v>0</v>
      </c>
      <c r="S62" s="75">
        <f t="shared" si="205"/>
        <v>0</v>
      </c>
      <c r="T62" s="75">
        <f t="shared" si="205"/>
        <v>0</v>
      </c>
      <c r="U62" s="75">
        <f t="shared" si="205"/>
        <v>0</v>
      </c>
      <c r="V62" s="75">
        <f t="shared" si="205"/>
        <v>0</v>
      </c>
      <c r="W62" s="75">
        <f t="shared" si="205"/>
        <v>0</v>
      </c>
      <c r="X62" s="75">
        <f t="shared" si="205"/>
        <v>0</v>
      </c>
      <c r="Y62" s="75">
        <f t="shared" si="205"/>
        <v>0</v>
      </c>
      <c r="Z62" s="75">
        <f t="shared" si="205"/>
        <v>0</v>
      </c>
      <c r="AA62" s="75">
        <f t="shared" si="205"/>
        <v>0</v>
      </c>
      <c r="AB62" s="75">
        <f t="shared" si="205"/>
        <v>0</v>
      </c>
      <c r="AC62" s="58"/>
      <c r="AD62" s="75">
        <f>ROUND(+AB62*(1+AB63),0)</f>
        <v>0</v>
      </c>
      <c r="AE62" s="75">
        <f t="shared" ref="AE62:AO62" si="206">+AD62</f>
        <v>0</v>
      </c>
      <c r="AF62" s="75">
        <f t="shared" si="206"/>
        <v>0</v>
      </c>
      <c r="AG62" s="75">
        <f t="shared" si="206"/>
        <v>0</v>
      </c>
      <c r="AH62" s="75">
        <f t="shared" si="206"/>
        <v>0</v>
      </c>
      <c r="AI62" s="75">
        <f t="shared" si="206"/>
        <v>0</v>
      </c>
      <c r="AJ62" s="75">
        <f t="shared" si="206"/>
        <v>0</v>
      </c>
      <c r="AK62" s="75">
        <f t="shared" si="206"/>
        <v>0</v>
      </c>
      <c r="AL62" s="75">
        <f t="shared" si="206"/>
        <v>0</v>
      </c>
      <c r="AM62" s="75">
        <f t="shared" si="206"/>
        <v>0</v>
      </c>
      <c r="AN62" s="75">
        <f t="shared" si="206"/>
        <v>0</v>
      </c>
      <c r="AO62" s="75">
        <f t="shared" si="206"/>
        <v>0</v>
      </c>
      <c r="AP62" s="58"/>
      <c r="AQ62" s="254">
        <f>ROUND(+AO62*(1+AO63),0)</f>
        <v>0</v>
      </c>
      <c r="AR62" s="75">
        <f t="shared" ref="AR62:BB62" si="207">+AQ62</f>
        <v>0</v>
      </c>
      <c r="AS62" s="75">
        <f t="shared" si="207"/>
        <v>0</v>
      </c>
      <c r="AT62" s="75">
        <f t="shared" si="207"/>
        <v>0</v>
      </c>
      <c r="AU62" s="75">
        <f t="shared" si="207"/>
        <v>0</v>
      </c>
      <c r="AV62" s="75">
        <f t="shared" si="207"/>
        <v>0</v>
      </c>
      <c r="AW62" s="75">
        <f t="shared" si="207"/>
        <v>0</v>
      </c>
      <c r="AX62" s="75">
        <f t="shared" si="207"/>
        <v>0</v>
      </c>
      <c r="AY62" s="75">
        <f t="shared" si="207"/>
        <v>0</v>
      </c>
      <c r="AZ62" s="75">
        <f t="shared" si="207"/>
        <v>0</v>
      </c>
      <c r="BA62" s="75">
        <f t="shared" si="207"/>
        <v>0</v>
      </c>
      <c r="BB62" s="75">
        <f t="shared" si="207"/>
        <v>0</v>
      </c>
      <c r="BC62" s="58"/>
      <c r="BD62" s="254">
        <f>ROUND(+BB62*(1+BB63),0)</f>
        <v>0</v>
      </c>
      <c r="BE62" s="75">
        <f t="shared" ref="BE62:BO62" si="208">+BD62</f>
        <v>0</v>
      </c>
      <c r="BF62" s="75">
        <f t="shared" si="208"/>
        <v>0</v>
      </c>
      <c r="BG62" s="75">
        <f t="shared" si="208"/>
        <v>0</v>
      </c>
      <c r="BH62" s="75">
        <f t="shared" si="208"/>
        <v>0</v>
      </c>
      <c r="BI62" s="75">
        <f t="shared" si="208"/>
        <v>0</v>
      </c>
      <c r="BJ62" s="75">
        <f t="shared" si="208"/>
        <v>0</v>
      </c>
      <c r="BK62" s="75">
        <f t="shared" si="208"/>
        <v>0</v>
      </c>
      <c r="BL62" s="75">
        <f t="shared" si="208"/>
        <v>0</v>
      </c>
      <c r="BM62" s="75">
        <f t="shared" si="208"/>
        <v>0</v>
      </c>
      <c r="BN62" s="75">
        <f t="shared" si="208"/>
        <v>0</v>
      </c>
      <c r="BO62" s="75">
        <f t="shared" si="208"/>
        <v>0</v>
      </c>
      <c r="BP62" s="63"/>
    </row>
    <row r="63" spans="2:68" x14ac:dyDescent="0.25">
      <c r="B63" s="393"/>
      <c r="C63" s="58" t="s">
        <v>195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77">
        <v>0.04</v>
      </c>
      <c r="P63" s="78">
        <f>+O63</f>
        <v>0.04</v>
      </c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77">
        <v>0.04</v>
      </c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19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19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63"/>
    </row>
    <row r="64" spans="2:68" x14ac:dyDescent="0.25">
      <c r="B64" s="393"/>
      <c r="C64" s="80" t="s">
        <v>197</v>
      </c>
      <c r="D64" s="81">
        <f t="shared" ref="D64:O64" si="209">+D62*D6</f>
        <v>0</v>
      </c>
      <c r="E64" s="81">
        <f t="shared" si="209"/>
        <v>0</v>
      </c>
      <c r="F64" s="81">
        <f t="shared" si="209"/>
        <v>0</v>
      </c>
      <c r="G64" s="81">
        <f t="shared" si="209"/>
        <v>0</v>
      </c>
      <c r="H64" s="81">
        <f t="shared" si="209"/>
        <v>0</v>
      </c>
      <c r="I64" s="81">
        <f t="shared" si="209"/>
        <v>0</v>
      </c>
      <c r="J64" s="81">
        <f t="shared" si="209"/>
        <v>0</v>
      </c>
      <c r="K64" s="81">
        <f t="shared" si="209"/>
        <v>0</v>
      </c>
      <c r="L64" s="81">
        <f t="shared" si="209"/>
        <v>0</v>
      </c>
      <c r="M64" s="81">
        <f t="shared" si="209"/>
        <v>0</v>
      </c>
      <c r="N64" s="81">
        <f t="shared" si="209"/>
        <v>0</v>
      </c>
      <c r="O64" s="81">
        <f t="shared" si="209"/>
        <v>0</v>
      </c>
      <c r="P64" s="81">
        <f>SUM(D64:O64)</f>
        <v>0</v>
      </c>
      <c r="Q64" s="81">
        <f t="shared" ref="Q64:AB64" si="210">+Q62*Q6</f>
        <v>0</v>
      </c>
      <c r="R64" s="81">
        <f t="shared" si="210"/>
        <v>0</v>
      </c>
      <c r="S64" s="81">
        <f t="shared" si="210"/>
        <v>0</v>
      </c>
      <c r="T64" s="81">
        <f t="shared" si="210"/>
        <v>0</v>
      </c>
      <c r="U64" s="81">
        <f t="shared" si="210"/>
        <v>0</v>
      </c>
      <c r="V64" s="81">
        <f t="shared" si="210"/>
        <v>0</v>
      </c>
      <c r="W64" s="81">
        <f t="shared" si="210"/>
        <v>0</v>
      </c>
      <c r="X64" s="81">
        <f t="shared" si="210"/>
        <v>0</v>
      </c>
      <c r="Y64" s="81">
        <f t="shared" si="210"/>
        <v>0</v>
      </c>
      <c r="Z64" s="81">
        <f t="shared" si="210"/>
        <v>0</v>
      </c>
      <c r="AA64" s="81">
        <f t="shared" si="210"/>
        <v>0</v>
      </c>
      <c r="AB64" s="81">
        <f t="shared" si="210"/>
        <v>0</v>
      </c>
      <c r="AC64" s="81">
        <f>SUM(Q64:AB64)</f>
        <v>0</v>
      </c>
      <c r="AD64" s="81">
        <f t="shared" ref="AD64:AO64" si="211">+AD62*AD6</f>
        <v>0</v>
      </c>
      <c r="AE64" s="81">
        <f t="shared" si="211"/>
        <v>0</v>
      </c>
      <c r="AF64" s="81">
        <f t="shared" si="211"/>
        <v>0</v>
      </c>
      <c r="AG64" s="81">
        <f t="shared" si="211"/>
        <v>0</v>
      </c>
      <c r="AH64" s="81">
        <f t="shared" si="211"/>
        <v>0</v>
      </c>
      <c r="AI64" s="81">
        <f t="shared" si="211"/>
        <v>0</v>
      </c>
      <c r="AJ64" s="81">
        <f t="shared" si="211"/>
        <v>0</v>
      </c>
      <c r="AK64" s="81">
        <f t="shared" si="211"/>
        <v>0</v>
      </c>
      <c r="AL64" s="81">
        <f t="shared" si="211"/>
        <v>0</v>
      </c>
      <c r="AM64" s="81">
        <f t="shared" si="211"/>
        <v>0</v>
      </c>
      <c r="AN64" s="81">
        <f t="shared" si="211"/>
        <v>0</v>
      </c>
      <c r="AO64" s="81">
        <f t="shared" si="211"/>
        <v>0</v>
      </c>
      <c r="AP64" s="81">
        <f>SUM(AD64:AO64)</f>
        <v>0</v>
      </c>
      <c r="AQ64" s="256">
        <f t="shared" ref="AQ64:BB64" si="212">+AQ62*AQ6</f>
        <v>0</v>
      </c>
      <c r="AR64" s="81">
        <f t="shared" si="212"/>
        <v>0</v>
      </c>
      <c r="AS64" s="81">
        <f t="shared" si="212"/>
        <v>0</v>
      </c>
      <c r="AT64" s="81">
        <f t="shared" si="212"/>
        <v>0</v>
      </c>
      <c r="AU64" s="81">
        <f t="shared" si="212"/>
        <v>0</v>
      </c>
      <c r="AV64" s="81">
        <f t="shared" si="212"/>
        <v>0</v>
      </c>
      <c r="AW64" s="81">
        <f t="shared" si="212"/>
        <v>0</v>
      </c>
      <c r="AX64" s="81">
        <f t="shared" si="212"/>
        <v>0</v>
      </c>
      <c r="AY64" s="81">
        <f t="shared" si="212"/>
        <v>0</v>
      </c>
      <c r="AZ64" s="81">
        <f t="shared" si="212"/>
        <v>0</v>
      </c>
      <c r="BA64" s="81">
        <f t="shared" si="212"/>
        <v>0</v>
      </c>
      <c r="BB64" s="81">
        <f t="shared" si="212"/>
        <v>0</v>
      </c>
      <c r="BC64" s="81">
        <f>SUM(AQ64:BB64)</f>
        <v>0</v>
      </c>
      <c r="BD64" s="256">
        <f t="shared" ref="BD64:BO64" si="213">+BD62*BD6</f>
        <v>0</v>
      </c>
      <c r="BE64" s="81">
        <f t="shared" si="213"/>
        <v>0</v>
      </c>
      <c r="BF64" s="81">
        <f t="shared" si="213"/>
        <v>0</v>
      </c>
      <c r="BG64" s="81">
        <f t="shared" si="213"/>
        <v>0</v>
      </c>
      <c r="BH64" s="81">
        <f t="shared" si="213"/>
        <v>0</v>
      </c>
      <c r="BI64" s="81">
        <f t="shared" si="213"/>
        <v>0</v>
      </c>
      <c r="BJ64" s="81">
        <f t="shared" si="213"/>
        <v>0</v>
      </c>
      <c r="BK64" s="81">
        <f t="shared" si="213"/>
        <v>0</v>
      </c>
      <c r="BL64" s="81">
        <f t="shared" si="213"/>
        <v>0</v>
      </c>
      <c r="BM64" s="81">
        <f t="shared" si="213"/>
        <v>0</v>
      </c>
      <c r="BN64" s="81">
        <f t="shared" si="213"/>
        <v>0</v>
      </c>
      <c r="BO64" s="81">
        <f t="shared" si="213"/>
        <v>0</v>
      </c>
      <c r="BP64" s="101">
        <f>SUM(BD64:BO64)</f>
        <v>0</v>
      </c>
    </row>
    <row r="65" spans="2:68" x14ac:dyDescent="0.25">
      <c r="B65" s="85"/>
      <c r="C65" s="83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255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255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6"/>
    </row>
    <row r="66" spans="2:68" ht="15.75" x14ac:dyDescent="0.25">
      <c r="B66" s="114" t="s">
        <v>285</v>
      </c>
      <c r="C66" s="113" t="s">
        <v>192</v>
      </c>
      <c r="D66" s="107">
        <f t="shared" ref="D66:O66" si="214">+D15+D26+D60+D64</f>
        <v>4147054</v>
      </c>
      <c r="E66" s="107">
        <f t="shared" si="214"/>
        <v>5164912</v>
      </c>
      <c r="F66" s="107">
        <f t="shared" si="214"/>
        <v>4182769</v>
      </c>
      <c r="G66" s="107">
        <f t="shared" si="214"/>
        <v>6200626</v>
      </c>
      <c r="H66" s="107">
        <f t="shared" si="214"/>
        <v>4218483</v>
      </c>
      <c r="I66" s="107">
        <f t="shared" si="214"/>
        <v>5736340</v>
      </c>
      <c r="J66" s="107">
        <f t="shared" si="214"/>
        <v>8508396</v>
      </c>
      <c r="K66" s="107">
        <f t="shared" si="214"/>
        <v>11044110</v>
      </c>
      <c r="L66" s="107">
        <f t="shared" si="214"/>
        <v>8579824</v>
      </c>
      <c r="M66" s="107">
        <f t="shared" si="214"/>
        <v>13615538</v>
      </c>
      <c r="N66" s="107">
        <f t="shared" si="214"/>
        <v>8651253</v>
      </c>
      <c r="O66" s="107">
        <f t="shared" si="214"/>
        <v>13686967</v>
      </c>
      <c r="P66" s="107">
        <f>SUM(D66:O66)</f>
        <v>93736272</v>
      </c>
      <c r="Q66" s="107">
        <f t="shared" ref="Q66:AB66" si="215">+Q15+Q26+Q60+Q64</f>
        <v>8830159</v>
      </c>
      <c r="R66" s="107">
        <f t="shared" si="215"/>
        <v>11985874</v>
      </c>
      <c r="S66" s="107">
        <f t="shared" si="215"/>
        <v>8901588</v>
      </c>
      <c r="T66" s="107">
        <f t="shared" si="215"/>
        <v>12057302</v>
      </c>
      <c r="U66" s="107">
        <f t="shared" si="215"/>
        <v>8973016</v>
      </c>
      <c r="V66" s="107">
        <f t="shared" si="215"/>
        <v>14128731</v>
      </c>
      <c r="W66" s="107">
        <f t="shared" si="215"/>
        <v>13566668</v>
      </c>
      <c r="X66" s="107">
        <f t="shared" si="215"/>
        <v>17780239</v>
      </c>
      <c r="Y66" s="107">
        <f t="shared" si="215"/>
        <v>13673811</v>
      </c>
      <c r="Z66" s="107">
        <f t="shared" si="215"/>
        <v>18927382</v>
      </c>
      <c r="AA66" s="107">
        <f t="shared" si="215"/>
        <v>13780954</v>
      </c>
      <c r="AB66" s="107">
        <f t="shared" si="215"/>
        <v>20514525</v>
      </c>
      <c r="AC66" s="107">
        <f>SUM(Q66:AB66)</f>
        <v>163120249</v>
      </c>
      <c r="AD66" s="107">
        <f t="shared" ref="AD66:AO66" si="216">+AD15+AD26+AD60+AD64</f>
        <v>14055762.199999999</v>
      </c>
      <c r="AE66" s="107">
        <f t="shared" si="216"/>
        <v>18976533.199999999</v>
      </c>
      <c r="AF66" s="107">
        <f t="shared" si="216"/>
        <v>14162904.199999999</v>
      </c>
      <c r="AG66" s="107">
        <f t="shared" si="216"/>
        <v>19083676.199999999</v>
      </c>
      <c r="AH66" s="107">
        <f t="shared" si="216"/>
        <v>14270047.199999999</v>
      </c>
      <c r="AI66" s="107">
        <f t="shared" si="216"/>
        <v>23190819.199999999</v>
      </c>
      <c r="AJ66" s="107">
        <f t="shared" si="216"/>
        <v>14377190.199999999</v>
      </c>
      <c r="AK66" s="107">
        <f t="shared" si="216"/>
        <v>19297962.199999999</v>
      </c>
      <c r="AL66" s="107">
        <f t="shared" si="216"/>
        <v>14484333.199999999</v>
      </c>
      <c r="AM66" s="107">
        <f t="shared" si="216"/>
        <v>19405104.199999999</v>
      </c>
      <c r="AN66" s="107">
        <f t="shared" si="216"/>
        <v>14591476.199999999</v>
      </c>
      <c r="AO66" s="107">
        <f t="shared" si="216"/>
        <v>21512247.199999999</v>
      </c>
      <c r="AP66" s="107">
        <f>SUM(AD66:AO66)</f>
        <v>207408055.39999995</v>
      </c>
      <c r="AQ66" s="259">
        <f t="shared" ref="AQ66:BB66" si="217">+AQ15+AQ26+AQ60+AQ64</f>
        <v>14698619.199999999</v>
      </c>
      <c r="AR66" s="107">
        <f t="shared" si="217"/>
        <v>19619390.199999999</v>
      </c>
      <c r="AS66" s="107">
        <f t="shared" si="217"/>
        <v>14805762.199999999</v>
      </c>
      <c r="AT66" s="107">
        <f t="shared" si="217"/>
        <v>19726533.199999999</v>
      </c>
      <c r="AU66" s="107">
        <f t="shared" si="217"/>
        <v>14912904.199999999</v>
      </c>
      <c r="AV66" s="107">
        <f t="shared" si="217"/>
        <v>23833676.199999999</v>
      </c>
      <c r="AW66" s="107">
        <f t="shared" si="217"/>
        <v>15020047.199999999</v>
      </c>
      <c r="AX66" s="107">
        <f t="shared" si="217"/>
        <v>19940819.199999999</v>
      </c>
      <c r="AY66" s="107">
        <f t="shared" si="217"/>
        <v>15127190.199999999</v>
      </c>
      <c r="AZ66" s="107">
        <f t="shared" si="217"/>
        <v>20047962.199999999</v>
      </c>
      <c r="BA66" s="107">
        <f t="shared" si="217"/>
        <v>15234333.199999999</v>
      </c>
      <c r="BB66" s="107">
        <f t="shared" si="217"/>
        <v>22155104.199999999</v>
      </c>
      <c r="BC66" s="107">
        <f>SUM(AQ66:BB66)</f>
        <v>215122341.39999995</v>
      </c>
      <c r="BD66" s="259">
        <f t="shared" ref="BD66:BO66" si="218">+BD15+BD26+BD60+BD64</f>
        <v>15341476.199999999</v>
      </c>
      <c r="BE66" s="107">
        <f t="shared" si="218"/>
        <v>20262247.199999999</v>
      </c>
      <c r="BF66" s="107">
        <f t="shared" si="218"/>
        <v>15448619.199999999</v>
      </c>
      <c r="BG66" s="107">
        <f t="shared" si="218"/>
        <v>20369390.199999999</v>
      </c>
      <c r="BH66" s="107">
        <f t="shared" si="218"/>
        <v>15555762.199999999</v>
      </c>
      <c r="BI66" s="107">
        <f t="shared" si="218"/>
        <v>24476533.199999999</v>
      </c>
      <c r="BJ66" s="107">
        <f t="shared" si="218"/>
        <v>15662904.199999999</v>
      </c>
      <c r="BK66" s="107">
        <f t="shared" si="218"/>
        <v>20583676.199999999</v>
      </c>
      <c r="BL66" s="107">
        <f t="shared" si="218"/>
        <v>15770047.199999999</v>
      </c>
      <c r="BM66" s="107">
        <f t="shared" si="218"/>
        <v>20690819.199999999</v>
      </c>
      <c r="BN66" s="107">
        <f t="shared" si="218"/>
        <v>15877190.199999999</v>
      </c>
      <c r="BO66" s="107">
        <f t="shared" si="218"/>
        <v>22797962.199999999</v>
      </c>
      <c r="BP66" s="108">
        <f>SUM(BD66:BO66)</f>
        <v>222836627.39999995</v>
      </c>
    </row>
    <row r="67" spans="2:68" x14ac:dyDescent="0.25">
      <c r="B67" s="384" t="s">
        <v>53</v>
      </c>
      <c r="C67" s="106" t="s">
        <v>248</v>
      </c>
      <c r="D67" s="102">
        <v>0</v>
      </c>
      <c r="E67" s="74">
        <f t="shared" ref="E67:O67" si="219">+D67</f>
        <v>0</v>
      </c>
      <c r="F67" s="74">
        <f t="shared" si="219"/>
        <v>0</v>
      </c>
      <c r="G67" s="74">
        <f t="shared" si="219"/>
        <v>0</v>
      </c>
      <c r="H67" s="74">
        <f t="shared" si="219"/>
        <v>0</v>
      </c>
      <c r="I67" s="74">
        <f t="shared" si="219"/>
        <v>0</v>
      </c>
      <c r="J67" s="74">
        <f t="shared" si="219"/>
        <v>0</v>
      </c>
      <c r="K67" s="74">
        <f t="shared" si="219"/>
        <v>0</v>
      </c>
      <c r="L67" s="74">
        <f t="shared" si="219"/>
        <v>0</v>
      </c>
      <c r="M67" s="74">
        <f t="shared" si="219"/>
        <v>0</v>
      </c>
      <c r="N67" s="74">
        <f t="shared" si="219"/>
        <v>0</v>
      </c>
      <c r="O67" s="74">
        <f t="shared" si="219"/>
        <v>0</v>
      </c>
      <c r="P67" s="75"/>
      <c r="Q67" s="75">
        <f>ROUND(+O67*(1+O68),0)</f>
        <v>0</v>
      </c>
      <c r="R67" s="75">
        <f>+Q67</f>
        <v>0</v>
      </c>
      <c r="S67" s="75">
        <v>2000000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58"/>
      <c r="AD67" s="75">
        <f>ROUND(+AB67*(1+AB68),0)</f>
        <v>0</v>
      </c>
      <c r="AE67" s="75">
        <f>+AD67</f>
        <v>0</v>
      </c>
      <c r="AF67" s="75">
        <f>+S67*(1+AB68)</f>
        <v>2080000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58"/>
      <c r="AQ67" s="254">
        <f>ROUND(+AO67*(1+AO68),0)</f>
        <v>0</v>
      </c>
      <c r="AR67" s="75">
        <f>+AQ67</f>
        <v>0</v>
      </c>
      <c r="AS67" s="75">
        <f>+AF67*(1+AO68)</f>
        <v>2080000</v>
      </c>
      <c r="AT67" s="75"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v>0</v>
      </c>
      <c r="AZ67" s="75">
        <v>0</v>
      </c>
      <c r="BA67" s="75">
        <v>0</v>
      </c>
      <c r="BB67" s="75">
        <v>0</v>
      </c>
      <c r="BC67" s="58"/>
      <c r="BD67" s="254">
        <f>ROUND(+BB67*(1+BB68),0)</f>
        <v>0</v>
      </c>
      <c r="BE67" s="75">
        <f>+BD67</f>
        <v>0</v>
      </c>
      <c r="BF67" s="75">
        <f>+AS67*(1+BB68)</f>
        <v>2080000</v>
      </c>
      <c r="BG67" s="75">
        <v>0</v>
      </c>
      <c r="BH67" s="75">
        <v>0</v>
      </c>
      <c r="BI67" s="75">
        <v>0</v>
      </c>
      <c r="BJ67" s="75">
        <v>0</v>
      </c>
      <c r="BK67" s="75">
        <v>0</v>
      </c>
      <c r="BL67" s="75">
        <v>0</v>
      </c>
      <c r="BM67" s="75">
        <v>0</v>
      </c>
      <c r="BN67" s="75">
        <v>0</v>
      </c>
      <c r="BO67" s="75">
        <v>0</v>
      </c>
      <c r="BP67" s="63"/>
    </row>
    <row r="68" spans="2:68" x14ac:dyDescent="0.25">
      <c r="B68" s="385"/>
      <c r="C68" s="66" t="s">
        <v>195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77">
        <v>0.04</v>
      </c>
      <c r="P68" s="78">
        <f>+O68</f>
        <v>0.04</v>
      </c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77">
        <v>0.04</v>
      </c>
      <c r="AC68" s="78">
        <f>+AB68</f>
        <v>0.04</v>
      </c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19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19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63"/>
    </row>
    <row r="69" spans="2:68" ht="15.75" thickBot="1" x14ac:dyDescent="0.3">
      <c r="B69" s="386" t="s">
        <v>247</v>
      </c>
      <c r="C69" s="387"/>
      <c r="D69" s="186">
        <f t="shared" ref="D69:O69" si="220">+D67*D9</f>
        <v>0</v>
      </c>
      <c r="E69" s="186">
        <f t="shared" si="220"/>
        <v>0</v>
      </c>
      <c r="F69" s="186">
        <f t="shared" si="220"/>
        <v>0</v>
      </c>
      <c r="G69" s="186">
        <f t="shared" si="220"/>
        <v>0</v>
      </c>
      <c r="H69" s="186">
        <f t="shared" si="220"/>
        <v>0</v>
      </c>
      <c r="I69" s="186">
        <f t="shared" si="220"/>
        <v>0</v>
      </c>
      <c r="J69" s="186">
        <f t="shared" si="220"/>
        <v>0</v>
      </c>
      <c r="K69" s="186">
        <f t="shared" si="220"/>
        <v>0</v>
      </c>
      <c r="L69" s="186">
        <f t="shared" si="220"/>
        <v>0</v>
      </c>
      <c r="M69" s="186">
        <f t="shared" si="220"/>
        <v>0</v>
      </c>
      <c r="N69" s="186">
        <f t="shared" si="220"/>
        <v>0</v>
      </c>
      <c r="O69" s="186">
        <f t="shared" si="220"/>
        <v>0</v>
      </c>
      <c r="P69" s="186">
        <f>SUM(D69:O69)</f>
        <v>0</v>
      </c>
      <c r="Q69" s="186">
        <f>+Q67*Q9</f>
        <v>0</v>
      </c>
      <c r="R69" s="186">
        <f>+R67*R9</f>
        <v>0</v>
      </c>
      <c r="S69" s="186">
        <f>+S67*S6</f>
        <v>8000000</v>
      </c>
      <c r="T69" s="186">
        <f t="shared" ref="T69:AB69" si="221">+T67*T9</f>
        <v>0</v>
      </c>
      <c r="U69" s="186">
        <f t="shared" si="221"/>
        <v>0</v>
      </c>
      <c r="V69" s="186">
        <f t="shared" si="221"/>
        <v>0</v>
      </c>
      <c r="W69" s="186">
        <f t="shared" si="221"/>
        <v>0</v>
      </c>
      <c r="X69" s="186">
        <f t="shared" si="221"/>
        <v>0</v>
      </c>
      <c r="Y69" s="186">
        <f t="shared" si="221"/>
        <v>0</v>
      </c>
      <c r="Z69" s="186">
        <f t="shared" si="221"/>
        <v>0</v>
      </c>
      <c r="AA69" s="186">
        <f t="shared" si="221"/>
        <v>0</v>
      </c>
      <c r="AB69" s="186">
        <f t="shared" si="221"/>
        <v>0</v>
      </c>
      <c r="AC69" s="186">
        <f>SUM(Q69:AB69)</f>
        <v>8000000</v>
      </c>
      <c r="AD69" s="186">
        <f>+AD67*AD9</f>
        <v>0</v>
      </c>
      <c r="AE69" s="186">
        <f>+AE67*AE9</f>
        <v>0</v>
      </c>
      <c r="AF69" s="186">
        <f t="shared" ref="AF69:AO69" si="222">+AF67*AF6</f>
        <v>12480000</v>
      </c>
      <c r="AG69" s="186">
        <f t="shared" si="222"/>
        <v>0</v>
      </c>
      <c r="AH69" s="186">
        <f t="shared" si="222"/>
        <v>0</v>
      </c>
      <c r="AI69" s="186">
        <f t="shared" si="222"/>
        <v>0</v>
      </c>
      <c r="AJ69" s="186">
        <f t="shared" si="222"/>
        <v>0</v>
      </c>
      <c r="AK69" s="186">
        <f t="shared" si="222"/>
        <v>0</v>
      </c>
      <c r="AL69" s="186">
        <f t="shared" si="222"/>
        <v>0</v>
      </c>
      <c r="AM69" s="186">
        <f t="shared" si="222"/>
        <v>0</v>
      </c>
      <c r="AN69" s="186">
        <f t="shared" si="222"/>
        <v>0</v>
      </c>
      <c r="AO69" s="186">
        <f t="shared" si="222"/>
        <v>0</v>
      </c>
      <c r="AP69" s="186">
        <f>SUM(AD69:AO69)</f>
        <v>12480000</v>
      </c>
      <c r="AQ69" s="260">
        <f>+AQ67*AQ9</f>
        <v>0</v>
      </c>
      <c r="AR69" s="186">
        <f>+AR67*AR9</f>
        <v>0</v>
      </c>
      <c r="AS69" s="186">
        <f t="shared" ref="AS69:BB69" si="223">+AS67*AS6</f>
        <v>12480000</v>
      </c>
      <c r="AT69" s="186">
        <f t="shared" si="223"/>
        <v>0</v>
      </c>
      <c r="AU69" s="186">
        <f t="shared" si="223"/>
        <v>0</v>
      </c>
      <c r="AV69" s="186">
        <f t="shared" si="223"/>
        <v>0</v>
      </c>
      <c r="AW69" s="186">
        <f t="shared" si="223"/>
        <v>0</v>
      </c>
      <c r="AX69" s="186">
        <f t="shared" si="223"/>
        <v>0</v>
      </c>
      <c r="AY69" s="186">
        <f t="shared" si="223"/>
        <v>0</v>
      </c>
      <c r="AZ69" s="186">
        <f t="shared" si="223"/>
        <v>0</v>
      </c>
      <c r="BA69" s="186">
        <f t="shared" si="223"/>
        <v>0</v>
      </c>
      <c r="BB69" s="186">
        <f t="shared" si="223"/>
        <v>0</v>
      </c>
      <c r="BC69" s="186">
        <f>SUM(AQ69:BB69)</f>
        <v>12480000</v>
      </c>
      <c r="BD69" s="260">
        <f>+BD67*BD9</f>
        <v>0</v>
      </c>
      <c r="BE69" s="186">
        <f>+BE67*BE9</f>
        <v>0</v>
      </c>
      <c r="BF69" s="186">
        <f t="shared" ref="BF69:BO69" si="224">+BF67*BF6</f>
        <v>12480000</v>
      </c>
      <c r="BG69" s="186">
        <f t="shared" si="224"/>
        <v>0</v>
      </c>
      <c r="BH69" s="186">
        <f t="shared" si="224"/>
        <v>0</v>
      </c>
      <c r="BI69" s="186">
        <f t="shared" si="224"/>
        <v>0</v>
      </c>
      <c r="BJ69" s="186">
        <f t="shared" si="224"/>
        <v>0</v>
      </c>
      <c r="BK69" s="186">
        <f t="shared" si="224"/>
        <v>0</v>
      </c>
      <c r="BL69" s="186">
        <f t="shared" si="224"/>
        <v>0</v>
      </c>
      <c r="BM69" s="186">
        <f t="shared" si="224"/>
        <v>0</v>
      </c>
      <c r="BN69" s="186">
        <f t="shared" si="224"/>
        <v>0</v>
      </c>
      <c r="BO69" s="186">
        <f t="shared" si="224"/>
        <v>0</v>
      </c>
      <c r="BP69" s="187">
        <f>SUM(BD69:BO69)</f>
        <v>12480000</v>
      </c>
    </row>
    <row r="70" spans="2:68" x14ac:dyDescent="0.25">
      <c r="B70" s="49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</row>
    <row r="71" spans="2:68" x14ac:dyDescent="0.25">
      <c r="B71" s="49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</row>
    <row r="72" spans="2:68" x14ac:dyDescent="0.25">
      <c r="B72" s="49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</row>
    <row r="73" spans="2:68" x14ac:dyDescent="0.25">
      <c r="B73" s="49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</row>
    <row r="74" spans="2:68" x14ac:dyDescent="0.25">
      <c r="B74" s="49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</row>
    <row r="75" spans="2:68" x14ac:dyDescent="0.25">
      <c r="B75" s="49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</row>
    <row r="76" spans="2:68" x14ac:dyDescent="0.25">
      <c r="B76" s="49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</row>
    <row r="77" spans="2:68" x14ac:dyDescent="0.25">
      <c r="B77" s="49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</row>
    <row r="78" spans="2:68" x14ac:dyDescent="0.25">
      <c r="B78" s="49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</row>
    <row r="79" spans="2:68" x14ac:dyDescent="0.25">
      <c r="B79" s="49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</row>
    <row r="80" spans="2:68" x14ac:dyDescent="0.25">
      <c r="B80" s="49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</row>
    <row r="81" spans="2:68" x14ac:dyDescent="0.25">
      <c r="B81" s="49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</row>
    <row r="82" spans="2:68" x14ac:dyDescent="0.25">
      <c r="B82" s="49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</row>
    <row r="83" spans="2:68" x14ac:dyDescent="0.25">
      <c r="B83" s="49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</row>
    <row r="84" spans="2:68" x14ac:dyDescent="0.25">
      <c r="B84" s="49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</row>
    <row r="85" spans="2:68" x14ac:dyDescent="0.25">
      <c r="B85" s="49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</row>
    <row r="86" spans="2:68" x14ac:dyDescent="0.25">
      <c r="B86" s="49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</row>
    <row r="87" spans="2:68" x14ac:dyDescent="0.25">
      <c r="B87" s="49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</row>
    <row r="88" spans="2:68" x14ac:dyDescent="0.25">
      <c r="B88" s="49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</row>
    <row r="89" spans="2:68" x14ac:dyDescent="0.25">
      <c r="B89" s="49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</row>
    <row r="90" spans="2:68" x14ac:dyDescent="0.25">
      <c r="B90" s="49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</row>
    <row r="91" spans="2:68" x14ac:dyDescent="0.25">
      <c r="B91" s="49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</row>
    <row r="92" spans="2:68" x14ac:dyDescent="0.25">
      <c r="B92" s="49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</row>
    <row r="93" spans="2:68" x14ac:dyDescent="0.2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</row>
    <row r="94" spans="2:68" x14ac:dyDescent="0.2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</row>
    <row r="95" spans="2:68" x14ac:dyDescent="0.2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</row>
    <row r="96" spans="2:68" x14ac:dyDescent="0.2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</row>
    <row r="97" spans="4:68" x14ac:dyDescent="0.2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</row>
    <row r="98" spans="4:68" x14ac:dyDescent="0.2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</row>
    <row r="99" spans="4:68" x14ac:dyDescent="0.2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</row>
    <row r="100" spans="4:68" x14ac:dyDescent="0.25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</row>
    <row r="101" spans="4:68" x14ac:dyDescent="0.2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</row>
    <row r="102" spans="4:68" x14ac:dyDescent="0.2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</row>
    <row r="103" spans="4:68" x14ac:dyDescent="0.2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</row>
    <row r="104" spans="4:68" x14ac:dyDescent="0.2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</row>
    <row r="105" spans="4:68" x14ac:dyDescent="0.2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</row>
    <row r="106" spans="4:68" x14ac:dyDescent="0.25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</row>
    <row r="107" spans="4:68" x14ac:dyDescent="0.2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</row>
    <row r="108" spans="4:68" x14ac:dyDescent="0.2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</row>
    <row r="109" spans="4:68" x14ac:dyDescent="0.2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</row>
    <row r="110" spans="4:68" x14ac:dyDescent="0.2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</row>
    <row r="111" spans="4:68" x14ac:dyDescent="0.2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</row>
    <row r="112" spans="4:68" x14ac:dyDescent="0.2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</row>
    <row r="113" spans="4:68" x14ac:dyDescent="0.2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</row>
    <row r="114" spans="4:68" x14ac:dyDescent="0.2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</row>
    <row r="115" spans="4:68" x14ac:dyDescent="0.2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</row>
    <row r="116" spans="4:68" x14ac:dyDescent="0.2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</row>
    <row r="117" spans="4:68" x14ac:dyDescent="0.2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</row>
    <row r="118" spans="4:68" x14ac:dyDescent="0.2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</row>
    <row r="119" spans="4:68" x14ac:dyDescent="0.2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</row>
    <row r="120" spans="4:68" x14ac:dyDescent="0.2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</row>
    <row r="121" spans="4:68" x14ac:dyDescent="0.2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</row>
    <row r="122" spans="4:68" x14ac:dyDescent="0.25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</row>
    <row r="123" spans="4:68" x14ac:dyDescent="0.25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</row>
    <row r="124" spans="4:68" x14ac:dyDescent="0.25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</row>
    <row r="125" spans="4:68" x14ac:dyDescent="0.25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</row>
    <row r="126" spans="4:68" x14ac:dyDescent="0.2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</row>
    <row r="127" spans="4:68" x14ac:dyDescent="0.25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</row>
    <row r="128" spans="4:68" x14ac:dyDescent="0.25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</row>
    <row r="129" spans="4:68" x14ac:dyDescent="0.2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</row>
    <row r="130" spans="4:68" x14ac:dyDescent="0.25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</row>
    <row r="131" spans="4:68" x14ac:dyDescent="0.25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</row>
    <row r="132" spans="4:68" x14ac:dyDescent="0.25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</row>
    <row r="133" spans="4:68" x14ac:dyDescent="0.2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</row>
    <row r="134" spans="4:68" x14ac:dyDescent="0.25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</row>
    <row r="135" spans="4:68" x14ac:dyDescent="0.25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</row>
    <row r="136" spans="4:68" x14ac:dyDescent="0.25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</row>
    <row r="137" spans="4:68" x14ac:dyDescent="0.25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</row>
    <row r="138" spans="4:68" x14ac:dyDescent="0.25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</row>
    <row r="139" spans="4:68" x14ac:dyDescent="0.25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</row>
    <row r="140" spans="4:68" x14ac:dyDescent="0.25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</row>
    <row r="141" spans="4:68" x14ac:dyDescent="0.25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</row>
    <row r="142" spans="4:68" x14ac:dyDescent="0.25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</row>
    <row r="143" spans="4:68" x14ac:dyDescent="0.25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</row>
    <row r="144" spans="4:68" x14ac:dyDescent="0.25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</row>
    <row r="145" spans="4:68" x14ac:dyDescent="0.2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</row>
    <row r="146" spans="4:68" x14ac:dyDescent="0.2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</row>
    <row r="147" spans="4:68" x14ac:dyDescent="0.2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</row>
    <row r="148" spans="4:68" x14ac:dyDescent="0.2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</row>
    <row r="149" spans="4:68" x14ac:dyDescent="0.2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</row>
    <row r="150" spans="4:68" x14ac:dyDescent="0.2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</row>
    <row r="151" spans="4:68" x14ac:dyDescent="0.2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</row>
    <row r="152" spans="4:68" x14ac:dyDescent="0.2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</row>
    <row r="153" spans="4:68" x14ac:dyDescent="0.2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</row>
    <row r="154" spans="4:68" x14ac:dyDescent="0.2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</row>
    <row r="155" spans="4:68" x14ac:dyDescent="0.2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</row>
    <row r="156" spans="4:68" x14ac:dyDescent="0.2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</row>
    <row r="157" spans="4:68" x14ac:dyDescent="0.2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</row>
    <row r="158" spans="4:68" x14ac:dyDescent="0.2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</row>
    <row r="159" spans="4:68" x14ac:dyDescent="0.2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</row>
    <row r="160" spans="4:68" x14ac:dyDescent="0.2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</row>
    <row r="161" spans="4:68" x14ac:dyDescent="0.2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</row>
    <row r="162" spans="4:68" x14ac:dyDescent="0.2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</row>
    <row r="163" spans="4:68" x14ac:dyDescent="0.2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</row>
    <row r="164" spans="4:68" x14ac:dyDescent="0.2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</row>
    <row r="165" spans="4:68" x14ac:dyDescent="0.2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</row>
    <row r="166" spans="4:68" x14ac:dyDescent="0.2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</row>
    <row r="167" spans="4:68" x14ac:dyDescent="0.2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</row>
    <row r="168" spans="4:68" x14ac:dyDescent="0.2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</row>
    <row r="169" spans="4:68" x14ac:dyDescent="0.2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</row>
    <row r="170" spans="4:68" x14ac:dyDescent="0.2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</row>
    <row r="171" spans="4:68" x14ac:dyDescent="0.2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</row>
    <row r="172" spans="4:68" x14ac:dyDescent="0.2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</row>
    <row r="173" spans="4:68" x14ac:dyDescent="0.2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</row>
    <row r="174" spans="4:68" x14ac:dyDescent="0.2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</row>
    <row r="175" spans="4:68" x14ac:dyDescent="0.2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</row>
    <row r="176" spans="4:68" x14ac:dyDescent="0.2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</row>
    <row r="177" spans="4:68" x14ac:dyDescent="0.2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</row>
    <row r="178" spans="4:68" x14ac:dyDescent="0.25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</row>
    <row r="179" spans="4:68" x14ac:dyDescent="0.25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</row>
    <row r="180" spans="4:68" x14ac:dyDescent="0.25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</row>
    <row r="181" spans="4:68" x14ac:dyDescent="0.25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</row>
    <row r="182" spans="4:68" x14ac:dyDescent="0.25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</row>
    <row r="183" spans="4:68" x14ac:dyDescent="0.25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</row>
    <row r="184" spans="4:68" x14ac:dyDescent="0.25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</row>
    <row r="185" spans="4:68" x14ac:dyDescent="0.25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</row>
    <row r="186" spans="4:68" x14ac:dyDescent="0.25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</row>
    <row r="187" spans="4:68" x14ac:dyDescent="0.25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</row>
    <row r="188" spans="4:68" x14ac:dyDescent="0.25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</row>
    <row r="189" spans="4:68" x14ac:dyDescent="0.2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</row>
    <row r="190" spans="4:68" x14ac:dyDescent="0.2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</row>
    <row r="191" spans="4:68" x14ac:dyDescent="0.2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</row>
    <row r="192" spans="4:68" x14ac:dyDescent="0.25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</row>
    <row r="193" spans="4:68" x14ac:dyDescent="0.25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</row>
    <row r="194" spans="4:68" x14ac:dyDescent="0.25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</row>
    <row r="195" spans="4:68" x14ac:dyDescent="0.25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</row>
    <row r="196" spans="4:68" x14ac:dyDescent="0.2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</row>
    <row r="197" spans="4:68" x14ac:dyDescent="0.2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</row>
    <row r="198" spans="4:68" x14ac:dyDescent="0.2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</row>
    <row r="199" spans="4:68" x14ac:dyDescent="0.25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</row>
    <row r="200" spans="4:68" x14ac:dyDescent="0.25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</row>
    <row r="201" spans="4:68" x14ac:dyDescent="0.25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</row>
    <row r="202" spans="4:68" x14ac:dyDescent="0.25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</row>
    <row r="203" spans="4:68" x14ac:dyDescent="0.25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</row>
    <row r="204" spans="4:68" x14ac:dyDescent="0.25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</row>
    <row r="205" spans="4:68" x14ac:dyDescent="0.25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</row>
    <row r="206" spans="4:68" x14ac:dyDescent="0.25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</row>
    <row r="207" spans="4:68" x14ac:dyDescent="0.25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</row>
    <row r="208" spans="4:68" x14ac:dyDescent="0.25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</row>
    <row r="209" spans="4:68" x14ac:dyDescent="0.25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</row>
    <row r="210" spans="4:68" x14ac:dyDescent="0.25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</row>
    <row r="211" spans="4:68" x14ac:dyDescent="0.25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</row>
    <row r="212" spans="4:68" x14ac:dyDescent="0.25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</row>
    <row r="213" spans="4:68" x14ac:dyDescent="0.25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</row>
    <row r="214" spans="4:68" x14ac:dyDescent="0.25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</row>
    <row r="215" spans="4:68" x14ac:dyDescent="0.25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</row>
    <row r="216" spans="4:68" x14ac:dyDescent="0.25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</row>
    <row r="217" spans="4:68" x14ac:dyDescent="0.25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</row>
    <row r="218" spans="4:68" x14ac:dyDescent="0.25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</row>
    <row r="219" spans="4:68" x14ac:dyDescent="0.25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</row>
    <row r="220" spans="4:68" x14ac:dyDescent="0.25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</row>
    <row r="221" spans="4:68" x14ac:dyDescent="0.25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</row>
    <row r="222" spans="4:68" x14ac:dyDescent="0.25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</row>
    <row r="223" spans="4:68" x14ac:dyDescent="0.25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</row>
    <row r="224" spans="4:68" x14ac:dyDescent="0.25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</row>
    <row r="225" spans="4:68" x14ac:dyDescent="0.25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</row>
    <row r="226" spans="4:68" x14ac:dyDescent="0.25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</row>
    <row r="227" spans="4:68" x14ac:dyDescent="0.25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</row>
    <row r="228" spans="4:68" x14ac:dyDescent="0.25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</row>
    <row r="229" spans="4:68" x14ac:dyDescent="0.25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</row>
    <row r="230" spans="4:68" x14ac:dyDescent="0.25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</row>
    <row r="231" spans="4:68" x14ac:dyDescent="0.25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</row>
    <row r="232" spans="4:68" x14ac:dyDescent="0.25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</row>
    <row r="233" spans="4:68" x14ac:dyDescent="0.25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</row>
    <row r="234" spans="4:68" x14ac:dyDescent="0.25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</row>
    <row r="235" spans="4:68" x14ac:dyDescent="0.25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</row>
    <row r="236" spans="4:68" x14ac:dyDescent="0.2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</row>
    <row r="237" spans="4:68" x14ac:dyDescent="0.25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</row>
    <row r="238" spans="4:68" x14ac:dyDescent="0.25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</row>
    <row r="239" spans="4:68" x14ac:dyDescent="0.25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</row>
    <row r="240" spans="4:68" x14ac:dyDescent="0.25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</row>
    <row r="241" spans="4:68" x14ac:dyDescent="0.25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</row>
    <row r="242" spans="4:68" x14ac:dyDescent="0.25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</row>
    <row r="243" spans="4:68" x14ac:dyDescent="0.25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</row>
    <row r="244" spans="4:68" x14ac:dyDescent="0.25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</row>
    <row r="245" spans="4:68" x14ac:dyDescent="0.25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</row>
    <row r="246" spans="4:68" x14ac:dyDescent="0.25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</row>
    <row r="247" spans="4:68" x14ac:dyDescent="0.25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</row>
    <row r="248" spans="4:68" x14ac:dyDescent="0.25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</row>
    <row r="249" spans="4:68" x14ac:dyDescent="0.25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</row>
    <row r="250" spans="4:68" x14ac:dyDescent="0.25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</row>
    <row r="251" spans="4:68" x14ac:dyDescent="0.25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</row>
    <row r="252" spans="4:68" x14ac:dyDescent="0.25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</row>
    <row r="253" spans="4:68" x14ac:dyDescent="0.25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</row>
    <row r="254" spans="4:68" x14ac:dyDescent="0.25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</row>
    <row r="255" spans="4:68" x14ac:dyDescent="0.25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</row>
    <row r="256" spans="4:68" x14ac:dyDescent="0.2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</row>
    <row r="257" spans="4:68" x14ac:dyDescent="0.2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</row>
    <row r="258" spans="4:68" x14ac:dyDescent="0.2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</row>
    <row r="259" spans="4:68" x14ac:dyDescent="0.2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</row>
    <row r="260" spans="4:68" x14ac:dyDescent="0.2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</row>
    <row r="261" spans="4:68" x14ac:dyDescent="0.2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</row>
    <row r="262" spans="4:68" x14ac:dyDescent="0.2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</row>
    <row r="263" spans="4:68" x14ac:dyDescent="0.2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</row>
    <row r="264" spans="4:68" x14ac:dyDescent="0.2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</row>
    <row r="265" spans="4:68" x14ac:dyDescent="0.2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</row>
    <row r="266" spans="4:68" x14ac:dyDescent="0.2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</row>
    <row r="267" spans="4:68" x14ac:dyDescent="0.2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</row>
    <row r="268" spans="4:68" x14ac:dyDescent="0.2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</row>
    <row r="269" spans="4:68" x14ac:dyDescent="0.2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</row>
    <row r="270" spans="4:68" x14ac:dyDescent="0.2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</row>
    <row r="271" spans="4:68" x14ac:dyDescent="0.2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</row>
    <row r="272" spans="4:68" x14ac:dyDescent="0.2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</row>
    <row r="273" spans="4:68" x14ac:dyDescent="0.2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</row>
    <row r="274" spans="4:68" x14ac:dyDescent="0.2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</row>
    <row r="275" spans="4:68" x14ac:dyDescent="0.2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</row>
    <row r="276" spans="4:68" x14ac:dyDescent="0.2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</row>
    <row r="277" spans="4:68" x14ac:dyDescent="0.2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</row>
    <row r="278" spans="4:68" x14ac:dyDescent="0.2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</row>
    <row r="279" spans="4:68" x14ac:dyDescent="0.2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</row>
    <row r="280" spans="4:68" x14ac:dyDescent="0.2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</row>
    <row r="281" spans="4:68" x14ac:dyDescent="0.2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</row>
    <row r="282" spans="4:68" x14ac:dyDescent="0.2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</row>
    <row r="283" spans="4:68" x14ac:dyDescent="0.2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</row>
    <row r="284" spans="4:68" x14ac:dyDescent="0.2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</row>
    <row r="285" spans="4:68" x14ac:dyDescent="0.2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</row>
    <row r="286" spans="4:68" x14ac:dyDescent="0.2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</row>
    <row r="287" spans="4:68" x14ac:dyDescent="0.2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</row>
    <row r="288" spans="4:68" x14ac:dyDescent="0.2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</row>
    <row r="289" spans="4:68" x14ac:dyDescent="0.2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</row>
    <row r="290" spans="4:68" x14ac:dyDescent="0.2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</row>
    <row r="291" spans="4:68" x14ac:dyDescent="0.2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</row>
    <row r="292" spans="4:68" x14ac:dyDescent="0.2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</row>
    <row r="293" spans="4:68" x14ac:dyDescent="0.2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</row>
    <row r="294" spans="4:68" x14ac:dyDescent="0.2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</row>
    <row r="295" spans="4:68" x14ac:dyDescent="0.2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</row>
    <row r="296" spans="4:68" x14ac:dyDescent="0.2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</row>
    <row r="297" spans="4:68" x14ac:dyDescent="0.2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</row>
    <row r="298" spans="4:68" x14ac:dyDescent="0.2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</row>
    <row r="299" spans="4:68" x14ac:dyDescent="0.2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</row>
    <row r="300" spans="4:68" x14ac:dyDescent="0.25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</row>
    <row r="301" spans="4:68" x14ac:dyDescent="0.25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</row>
    <row r="302" spans="4:68" x14ac:dyDescent="0.25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</row>
    <row r="303" spans="4:68" x14ac:dyDescent="0.25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</row>
    <row r="304" spans="4:68" x14ac:dyDescent="0.25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</row>
    <row r="305" spans="4:68" x14ac:dyDescent="0.25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</row>
    <row r="306" spans="4:68" x14ac:dyDescent="0.25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</row>
    <row r="307" spans="4:68" x14ac:dyDescent="0.25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</row>
    <row r="308" spans="4:68" x14ac:dyDescent="0.25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</row>
    <row r="309" spans="4:68" x14ac:dyDescent="0.25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</row>
    <row r="310" spans="4:68" x14ac:dyDescent="0.25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</row>
    <row r="311" spans="4:68" x14ac:dyDescent="0.25"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</row>
    <row r="312" spans="4:68" x14ac:dyDescent="0.25"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</row>
    <row r="313" spans="4:68" x14ac:dyDescent="0.25"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</row>
    <row r="314" spans="4:68" x14ac:dyDescent="0.25"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</row>
    <row r="315" spans="4:68" x14ac:dyDescent="0.25"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</row>
    <row r="316" spans="4:68" x14ac:dyDescent="0.25"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</row>
    <row r="317" spans="4:68" x14ac:dyDescent="0.25"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</row>
    <row r="318" spans="4:68" x14ac:dyDescent="0.25"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</row>
    <row r="319" spans="4:68" x14ac:dyDescent="0.25"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</row>
    <row r="320" spans="4:68" x14ac:dyDescent="0.25"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</row>
    <row r="321" spans="4:68" x14ac:dyDescent="0.25"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</row>
    <row r="322" spans="4:68" x14ac:dyDescent="0.25"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</row>
    <row r="323" spans="4:68" x14ac:dyDescent="0.25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</row>
    <row r="324" spans="4:68" x14ac:dyDescent="0.25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</row>
    <row r="325" spans="4:68" x14ac:dyDescent="0.25"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</row>
    <row r="326" spans="4:68" x14ac:dyDescent="0.25"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</row>
    <row r="327" spans="4:68" x14ac:dyDescent="0.25"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</row>
    <row r="328" spans="4:68" x14ac:dyDescent="0.25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</row>
    <row r="329" spans="4:68" x14ac:dyDescent="0.25"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</row>
    <row r="330" spans="4:68" x14ac:dyDescent="0.25"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</row>
    <row r="331" spans="4:68" x14ac:dyDescent="0.25"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</row>
    <row r="332" spans="4:68" x14ac:dyDescent="0.25"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</row>
    <row r="333" spans="4:68" x14ac:dyDescent="0.25"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</row>
    <row r="334" spans="4:68" x14ac:dyDescent="0.25"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</row>
    <row r="335" spans="4:68" x14ac:dyDescent="0.25"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</row>
    <row r="336" spans="4:68" x14ac:dyDescent="0.25"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</row>
    <row r="337" spans="4:68" x14ac:dyDescent="0.25"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</row>
    <row r="338" spans="4:68" x14ac:dyDescent="0.25"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</row>
    <row r="339" spans="4:68" x14ac:dyDescent="0.25"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</row>
    <row r="340" spans="4:68" x14ac:dyDescent="0.25"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</row>
    <row r="341" spans="4:68" x14ac:dyDescent="0.25"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</row>
    <row r="342" spans="4:68" x14ac:dyDescent="0.25"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</row>
    <row r="343" spans="4:68" x14ac:dyDescent="0.25"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</row>
    <row r="344" spans="4:68" x14ac:dyDescent="0.25"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</row>
    <row r="345" spans="4:68" x14ac:dyDescent="0.25"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</row>
    <row r="346" spans="4:68" x14ac:dyDescent="0.25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</row>
    <row r="347" spans="4:68" x14ac:dyDescent="0.25"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</row>
    <row r="348" spans="4:68" x14ac:dyDescent="0.25"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</row>
    <row r="349" spans="4:68" x14ac:dyDescent="0.25"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</row>
    <row r="350" spans="4:68" x14ac:dyDescent="0.25"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</row>
    <row r="351" spans="4:68" x14ac:dyDescent="0.25"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</row>
    <row r="352" spans="4:68" x14ac:dyDescent="0.25"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</row>
    <row r="353" spans="4:68" x14ac:dyDescent="0.25"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</row>
    <row r="354" spans="4:68" x14ac:dyDescent="0.25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</row>
    <row r="355" spans="4:68" x14ac:dyDescent="0.25"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</row>
  </sheetData>
  <mergeCells count="9">
    <mergeCell ref="B2:BP2"/>
    <mergeCell ref="B67:B68"/>
    <mergeCell ref="B69:C69"/>
    <mergeCell ref="B5:B6"/>
    <mergeCell ref="B27:B60"/>
    <mergeCell ref="B16:B26"/>
    <mergeCell ref="B9:B15"/>
    <mergeCell ref="B62:B64"/>
    <mergeCell ref="B7:B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315"/>
  <sheetViews>
    <sheetView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AB28" sqref="AB28"/>
    </sheetView>
  </sheetViews>
  <sheetFormatPr baseColWidth="10" defaultColWidth="9.140625" defaultRowHeight="15" outlineLevelCol="1" x14ac:dyDescent="0.25"/>
  <cols>
    <col min="1" max="1" width="15.7109375" customWidth="1"/>
    <col min="2" max="2" width="29.85546875" customWidth="1"/>
    <col min="3" max="9" width="11.5703125" hidden="1" customWidth="1" outlineLevel="1"/>
    <col min="10" max="10" width="12.7109375" hidden="1" customWidth="1" outlineLevel="1"/>
    <col min="11" max="11" width="11.5703125" hidden="1" customWidth="1" outlineLevel="1"/>
    <col min="12" max="12" width="12.7109375" hidden="1" customWidth="1" outlineLevel="1"/>
    <col min="13" max="13" width="11.5703125" hidden="1" customWidth="1" outlineLevel="1"/>
    <col min="14" max="14" width="12.7109375" hidden="1" customWidth="1" outlineLevel="1"/>
    <col min="15" max="15" width="12.7109375" customWidth="1" collapsed="1"/>
    <col min="16" max="16" width="11.5703125" hidden="1" customWidth="1" outlineLevel="1"/>
    <col min="17" max="17" width="12.7109375" hidden="1" customWidth="1" outlineLevel="1"/>
    <col min="18" max="18" width="11.5703125" hidden="1" customWidth="1" outlineLevel="1"/>
    <col min="19" max="19" width="12.7109375" hidden="1" customWidth="1" outlineLevel="1"/>
    <col min="20" max="20" width="11.5703125" hidden="1" customWidth="1" outlineLevel="1"/>
    <col min="21" max="27" width="12.7109375" hidden="1" customWidth="1" outlineLevel="1"/>
    <col min="28" max="28" width="12.42578125" customWidth="1" collapsed="1"/>
    <col min="29" max="40" width="12.7109375" hidden="1" customWidth="1" outlineLevel="1"/>
    <col min="41" max="41" width="12.85546875" customWidth="1" collapsed="1"/>
    <col min="42" max="53" width="12.7109375" hidden="1" customWidth="1" outlineLevel="1"/>
    <col min="54" max="54" width="12.5703125" customWidth="1" collapsed="1"/>
    <col min="55" max="66" width="12.7109375" hidden="1" customWidth="1" outlineLevel="1"/>
    <col min="67" max="67" width="12.85546875" customWidth="1" collapsed="1"/>
  </cols>
  <sheetData>
    <row r="2" spans="1:67" ht="23.25" x14ac:dyDescent="0.35">
      <c r="A2" s="383" t="s">
        <v>259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3"/>
      <c r="BM2" s="383"/>
      <c r="BN2" s="383"/>
      <c r="BO2" s="383"/>
    </row>
    <row r="3" spans="1:67" ht="15.75" thickBot="1" x14ac:dyDescent="0.3"/>
    <row r="4" spans="1:67" x14ac:dyDescent="0.25">
      <c r="A4" s="96" t="s">
        <v>283</v>
      </c>
      <c r="B4" s="309" t="s">
        <v>284</v>
      </c>
      <c r="C4" s="310">
        <v>1</v>
      </c>
      <c r="D4" s="310">
        <v>2</v>
      </c>
      <c r="E4" s="310">
        <v>3</v>
      </c>
      <c r="F4" s="310">
        <v>4</v>
      </c>
      <c r="G4" s="310">
        <v>5</v>
      </c>
      <c r="H4" s="310">
        <v>6</v>
      </c>
      <c r="I4" s="310">
        <v>7</v>
      </c>
      <c r="J4" s="310">
        <v>8</v>
      </c>
      <c r="K4" s="310">
        <v>9</v>
      </c>
      <c r="L4" s="310">
        <v>10</v>
      </c>
      <c r="M4" s="310">
        <v>11</v>
      </c>
      <c r="N4" s="310">
        <v>12</v>
      </c>
      <c r="O4" s="68" t="s">
        <v>97</v>
      </c>
      <c r="P4" s="68">
        <v>13</v>
      </c>
      <c r="Q4" s="68">
        <f>+P4+1</f>
        <v>14</v>
      </c>
      <c r="R4" s="68">
        <f t="shared" ref="R4:AN4" si="0">+Q4+1</f>
        <v>15</v>
      </c>
      <c r="S4" s="68">
        <f t="shared" si="0"/>
        <v>16</v>
      </c>
      <c r="T4" s="68">
        <f t="shared" si="0"/>
        <v>17</v>
      </c>
      <c r="U4" s="68">
        <f t="shared" si="0"/>
        <v>18</v>
      </c>
      <c r="V4" s="68">
        <f t="shared" si="0"/>
        <v>19</v>
      </c>
      <c r="W4" s="68">
        <f t="shared" si="0"/>
        <v>20</v>
      </c>
      <c r="X4" s="68">
        <f t="shared" si="0"/>
        <v>21</v>
      </c>
      <c r="Y4" s="68">
        <f t="shared" si="0"/>
        <v>22</v>
      </c>
      <c r="Z4" s="68">
        <f t="shared" si="0"/>
        <v>23</v>
      </c>
      <c r="AA4" s="68">
        <f t="shared" si="0"/>
        <v>24</v>
      </c>
      <c r="AB4" s="270" t="s">
        <v>98</v>
      </c>
      <c r="AC4" s="68">
        <f>+AA4+1</f>
        <v>25</v>
      </c>
      <c r="AD4" s="68">
        <f t="shared" si="0"/>
        <v>26</v>
      </c>
      <c r="AE4" s="68">
        <f t="shared" si="0"/>
        <v>27</v>
      </c>
      <c r="AF4" s="68">
        <f t="shared" si="0"/>
        <v>28</v>
      </c>
      <c r="AG4" s="68">
        <f t="shared" si="0"/>
        <v>29</v>
      </c>
      <c r="AH4" s="68">
        <f t="shared" si="0"/>
        <v>30</v>
      </c>
      <c r="AI4" s="68">
        <f t="shared" si="0"/>
        <v>31</v>
      </c>
      <c r="AJ4" s="68">
        <f t="shared" si="0"/>
        <v>32</v>
      </c>
      <c r="AK4" s="68">
        <f t="shared" si="0"/>
        <v>33</v>
      </c>
      <c r="AL4" s="68">
        <f t="shared" si="0"/>
        <v>34</v>
      </c>
      <c r="AM4" s="68">
        <f t="shared" si="0"/>
        <v>35</v>
      </c>
      <c r="AN4" s="68">
        <f t="shared" si="0"/>
        <v>36</v>
      </c>
      <c r="AO4" s="270" t="s">
        <v>99</v>
      </c>
      <c r="AP4" s="261">
        <f>+AN4+1</f>
        <v>37</v>
      </c>
      <c r="AQ4" s="68">
        <f t="shared" ref="AQ4:BA4" si="1">+AP4+1</f>
        <v>38</v>
      </c>
      <c r="AR4" s="68">
        <f t="shared" si="1"/>
        <v>39</v>
      </c>
      <c r="AS4" s="68">
        <f t="shared" si="1"/>
        <v>40</v>
      </c>
      <c r="AT4" s="68">
        <f t="shared" si="1"/>
        <v>41</v>
      </c>
      <c r="AU4" s="68">
        <f t="shared" si="1"/>
        <v>42</v>
      </c>
      <c r="AV4" s="68">
        <f t="shared" si="1"/>
        <v>43</v>
      </c>
      <c r="AW4" s="68">
        <f t="shared" si="1"/>
        <v>44</v>
      </c>
      <c r="AX4" s="68">
        <f t="shared" si="1"/>
        <v>45</v>
      </c>
      <c r="AY4" s="68">
        <f t="shared" si="1"/>
        <v>46</v>
      </c>
      <c r="AZ4" s="68">
        <f t="shared" si="1"/>
        <v>47</v>
      </c>
      <c r="BA4" s="68">
        <f t="shared" si="1"/>
        <v>48</v>
      </c>
      <c r="BB4" s="270" t="s">
        <v>294</v>
      </c>
      <c r="BC4" s="261">
        <f>+BA4+1</f>
        <v>49</v>
      </c>
      <c r="BD4" s="68">
        <f t="shared" ref="BD4:BN4" si="2">+BC4+1</f>
        <v>50</v>
      </c>
      <c r="BE4" s="68">
        <f t="shared" si="2"/>
        <v>51</v>
      </c>
      <c r="BF4" s="68">
        <f t="shared" si="2"/>
        <v>52</v>
      </c>
      <c r="BG4" s="68">
        <f t="shared" si="2"/>
        <v>53</v>
      </c>
      <c r="BH4" s="68">
        <f t="shared" si="2"/>
        <v>54</v>
      </c>
      <c r="BI4" s="68">
        <f t="shared" si="2"/>
        <v>55</v>
      </c>
      <c r="BJ4" s="68">
        <f t="shared" si="2"/>
        <v>56</v>
      </c>
      <c r="BK4" s="68">
        <f t="shared" si="2"/>
        <v>57</v>
      </c>
      <c r="BL4" s="68">
        <f t="shared" si="2"/>
        <v>58</v>
      </c>
      <c r="BM4" s="68">
        <f t="shared" si="2"/>
        <v>59</v>
      </c>
      <c r="BN4" s="68">
        <f t="shared" si="2"/>
        <v>60</v>
      </c>
      <c r="BO4" s="231" t="s">
        <v>295</v>
      </c>
    </row>
    <row r="5" spans="1:67" x14ac:dyDescent="0.25">
      <c r="A5" s="388" t="s">
        <v>57</v>
      </c>
      <c r="B5" s="83" t="s">
        <v>275</v>
      </c>
      <c r="C5" s="97">
        <v>8000000</v>
      </c>
      <c r="D5" s="98">
        <f>+C5</f>
        <v>8000000</v>
      </c>
      <c r="E5" s="98">
        <f t="shared" ref="E5:N5" si="3">+D5</f>
        <v>8000000</v>
      </c>
      <c r="F5" s="98">
        <f t="shared" si="3"/>
        <v>8000000</v>
      </c>
      <c r="G5" s="98">
        <f t="shared" si="3"/>
        <v>8000000</v>
      </c>
      <c r="H5" s="98">
        <f t="shared" si="3"/>
        <v>8000000</v>
      </c>
      <c r="I5" s="98">
        <f t="shared" si="3"/>
        <v>8000000</v>
      </c>
      <c r="J5" s="98">
        <f t="shared" si="3"/>
        <v>8000000</v>
      </c>
      <c r="K5" s="98">
        <f t="shared" si="3"/>
        <v>8000000</v>
      </c>
      <c r="L5" s="98">
        <f t="shared" si="3"/>
        <v>8000000</v>
      </c>
      <c r="M5" s="98">
        <f t="shared" si="3"/>
        <v>8000000</v>
      </c>
      <c r="N5" s="98">
        <f t="shared" si="3"/>
        <v>8000000</v>
      </c>
      <c r="O5" s="98">
        <f>+N5</f>
        <v>8000000</v>
      </c>
      <c r="P5" s="98">
        <f>+N5</f>
        <v>8000000</v>
      </c>
      <c r="Q5" s="98">
        <f>+P5</f>
        <v>8000000</v>
      </c>
      <c r="R5" s="98">
        <f t="shared" ref="R5:AA5" si="4">+Q5</f>
        <v>8000000</v>
      </c>
      <c r="S5" s="98">
        <f t="shared" si="4"/>
        <v>8000000</v>
      </c>
      <c r="T5" s="98">
        <f t="shared" si="4"/>
        <v>8000000</v>
      </c>
      <c r="U5" s="98">
        <f t="shared" si="4"/>
        <v>8000000</v>
      </c>
      <c r="V5" s="98">
        <f t="shared" si="4"/>
        <v>8000000</v>
      </c>
      <c r="W5" s="98">
        <f t="shared" si="4"/>
        <v>8000000</v>
      </c>
      <c r="X5" s="98">
        <f t="shared" si="4"/>
        <v>8000000</v>
      </c>
      <c r="Y5" s="98">
        <f t="shared" si="4"/>
        <v>8000000</v>
      </c>
      <c r="Z5" s="98">
        <f t="shared" si="4"/>
        <v>8000000</v>
      </c>
      <c r="AA5" s="98">
        <f t="shared" si="4"/>
        <v>8000000</v>
      </c>
      <c r="AB5" s="98">
        <f>+AA5</f>
        <v>8000000</v>
      </c>
      <c r="AC5" s="98">
        <f>+AA5</f>
        <v>8000000</v>
      </c>
      <c r="AD5" s="98">
        <f>+AC5</f>
        <v>8000000</v>
      </c>
      <c r="AE5" s="98">
        <f t="shared" ref="AE5:AN5" si="5">+AD5</f>
        <v>8000000</v>
      </c>
      <c r="AF5" s="98">
        <f t="shared" si="5"/>
        <v>8000000</v>
      </c>
      <c r="AG5" s="98">
        <f t="shared" si="5"/>
        <v>8000000</v>
      </c>
      <c r="AH5" s="98">
        <f t="shared" si="5"/>
        <v>8000000</v>
      </c>
      <c r="AI5" s="98">
        <f t="shared" si="5"/>
        <v>8000000</v>
      </c>
      <c r="AJ5" s="98">
        <f t="shared" si="5"/>
        <v>8000000</v>
      </c>
      <c r="AK5" s="98">
        <f t="shared" si="5"/>
        <v>8000000</v>
      </c>
      <c r="AL5" s="98">
        <f t="shared" si="5"/>
        <v>8000000</v>
      </c>
      <c r="AM5" s="98">
        <f t="shared" si="5"/>
        <v>8000000</v>
      </c>
      <c r="AN5" s="98">
        <f t="shared" si="5"/>
        <v>8000000</v>
      </c>
      <c r="AO5" s="98">
        <f>+AN5</f>
        <v>8000000</v>
      </c>
      <c r="AP5" s="246">
        <f>+AN5</f>
        <v>8000000</v>
      </c>
      <c r="AQ5" s="98">
        <f t="shared" ref="AQ5:BB5" si="6">+AP5</f>
        <v>8000000</v>
      </c>
      <c r="AR5" s="98">
        <f t="shared" si="6"/>
        <v>8000000</v>
      </c>
      <c r="AS5" s="98">
        <f t="shared" si="6"/>
        <v>8000000</v>
      </c>
      <c r="AT5" s="98">
        <f t="shared" si="6"/>
        <v>8000000</v>
      </c>
      <c r="AU5" s="98">
        <f t="shared" si="6"/>
        <v>8000000</v>
      </c>
      <c r="AV5" s="98">
        <f t="shared" si="6"/>
        <v>8000000</v>
      </c>
      <c r="AW5" s="98">
        <f t="shared" si="6"/>
        <v>8000000</v>
      </c>
      <c r="AX5" s="98">
        <f t="shared" si="6"/>
        <v>8000000</v>
      </c>
      <c r="AY5" s="98">
        <f t="shared" si="6"/>
        <v>8000000</v>
      </c>
      <c r="AZ5" s="98">
        <f t="shared" si="6"/>
        <v>8000000</v>
      </c>
      <c r="BA5" s="98">
        <f t="shared" si="6"/>
        <v>8000000</v>
      </c>
      <c r="BB5" s="98">
        <f t="shared" si="6"/>
        <v>8000000</v>
      </c>
      <c r="BC5" s="246">
        <f>+BA5</f>
        <v>8000000</v>
      </c>
      <c r="BD5" s="98">
        <f t="shared" ref="BD5:BO5" si="7">+BC5</f>
        <v>8000000</v>
      </c>
      <c r="BE5" s="98">
        <f t="shared" si="7"/>
        <v>8000000</v>
      </c>
      <c r="BF5" s="98">
        <f t="shared" si="7"/>
        <v>8000000</v>
      </c>
      <c r="BG5" s="98">
        <f t="shared" si="7"/>
        <v>8000000</v>
      </c>
      <c r="BH5" s="98">
        <f t="shared" si="7"/>
        <v>8000000</v>
      </c>
      <c r="BI5" s="98">
        <f t="shared" si="7"/>
        <v>8000000</v>
      </c>
      <c r="BJ5" s="98">
        <f t="shared" si="7"/>
        <v>8000000</v>
      </c>
      <c r="BK5" s="98">
        <f t="shared" si="7"/>
        <v>8000000</v>
      </c>
      <c r="BL5" s="98">
        <f t="shared" si="7"/>
        <v>8000000</v>
      </c>
      <c r="BM5" s="98">
        <f t="shared" si="7"/>
        <v>8000000</v>
      </c>
      <c r="BN5" s="98">
        <f t="shared" si="7"/>
        <v>8000000</v>
      </c>
      <c r="BO5" s="116">
        <f t="shared" si="7"/>
        <v>8000000</v>
      </c>
    </row>
    <row r="6" spans="1:67" ht="15.75" thickBot="1" x14ac:dyDescent="0.3">
      <c r="A6" s="401"/>
      <c r="B6" s="160" t="s">
        <v>276</v>
      </c>
      <c r="C6" s="161">
        <v>3000000</v>
      </c>
      <c r="D6" s="162">
        <f>+C6</f>
        <v>3000000</v>
      </c>
      <c r="E6" s="162">
        <f t="shared" ref="E6:N6" si="8">+D6</f>
        <v>3000000</v>
      </c>
      <c r="F6" s="162">
        <f t="shared" si="8"/>
        <v>3000000</v>
      </c>
      <c r="G6" s="162">
        <f t="shared" si="8"/>
        <v>3000000</v>
      </c>
      <c r="H6" s="162">
        <f t="shared" si="8"/>
        <v>3000000</v>
      </c>
      <c r="I6" s="162">
        <f t="shared" si="8"/>
        <v>3000000</v>
      </c>
      <c r="J6" s="162">
        <f t="shared" si="8"/>
        <v>3000000</v>
      </c>
      <c r="K6" s="162">
        <f t="shared" si="8"/>
        <v>3000000</v>
      </c>
      <c r="L6" s="162">
        <f t="shared" si="8"/>
        <v>3000000</v>
      </c>
      <c r="M6" s="162">
        <f t="shared" si="8"/>
        <v>3000000</v>
      </c>
      <c r="N6" s="162">
        <f t="shared" si="8"/>
        <v>3000000</v>
      </c>
      <c r="O6" s="162">
        <f>+N6</f>
        <v>3000000</v>
      </c>
      <c r="P6" s="162">
        <f>+N6</f>
        <v>3000000</v>
      </c>
      <c r="Q6" s="162">
        <f>+P6</f>
        <v>3000000</v>
      </c>
      <c r="R6" s="162">
        <f t="shared" ref="R6:AA6" si="9">+Q6</f>
        <v>3000000</v>
      </c>
      <c r="S6" s="162">
        <f t="shared" si="9"/>
        <v>3000000</v>
      </c>
      <c r="T6" s="162">
        <f t="shared" si="9"/>
        <v>3000000</v>
      </c>
      <c r="U6" s="162">
        <f t="shared" si="9"/>
        <v>3000000</v>
      </c>
      <c r="V6" s="162">
        <f t="shared" si="9"/>
        <v>3000000</v>
      </c>
      <c r="W6" s="162">
        <f t="shared" si="9"/>
        <v>3000000</v>
      </c>
      <c r="X6" s="162">
        <f t="shared" si="9"/>
        <v>3000000</v>
      </c>
      <c r="Y6" s="162">
        <f t="shared" si="9"/>
        <v>3000000</v>
      </c>
      <c r="Z6" s="162">
        <f t="shared" si="9"/>
        <v>3000000</v>
      </c>
      <c r="AA6" s="162">
        <f t="shared" si="9"/>
        <v>3000000</v>
      </c>
      <c r="AB6" s="162">
        <f>+AA6</f>
        <v>3000000</v>
      </c>
      <c r="AC6" s="162">
        <f>+AA6</f>
        <v>3000000</v>
      </c>
      <c r="AD6" s="162">
        <f>+AC6</f>
        <v>3000000</v>
      </c>
      <c r="AE6" s="162">
        <f t="shared" ref="AE6:AN6" si="10">+AD6</f>
        <v>3000000</v>
      </c>
      <c r="AF6" s="162">
        <f t="shared" si="10"/>
        <v>3000000</v>
      </c>
      <c r="AG6" s="162">
        <f t="shared" si="10"/>
        <v>3000000</v>
      </c>
      <c r="AH6" s="162">
        <f t="shared" si="10"/>
        <v>3000000</v>
      </c>
      <c r="AI6" s="162">
        <f t="shared" si="10"/>
        <v>3000000</v>
      </c>
      <c r="AJ6" s="162">
        <f t="shared" si="10"/>
        <v>3000000</v>
      </c>
      <c r="AK6" s="162">
        <f t="shared" si="10"/>
        <v>3000000</v>
      </c>
      <c r="AL6" s="162">
        <f t="shared" si="10"/>
        <v>3000000</v>
      </c>
      <c r="AM6" s="162">
        <f t="shared" si="10"/>
        <v>3000000</v>
      </c>
      <c r="AN6" s="162">
        <f t="shared" si="10"/>
        <v>3000000</v>
      </c>
      <c r="AO6" s="162">
        <f>+AN6</f>
        <v>3000000</v>
      </c>
      <c r="AP6" s="247">
        <f>+AN6</f>
        <v>3000000</v>
      </c>
      <c r="AQ6" s="162">
        <f t="shared" ref="AQ6:BB6" si="11">+AP6</f>
        <v>3000000</v>
      </c>
      <c r="AR6" s="162">
        <f t="shared" si="11"/>
        <v>3000000</v>
      </c>
      <c r="AS6" s="162">
        <f t="shared" si="11"/>
        <v>3000000</v>
      </c>
      <c r="AT6" s="162">
        <f t="shared" si="11"/>
        <v>3000000</v>
      </c>
      <c r="AU6" s="162">
        <f t="shared" si="11"/>
        <v>3000000</v>
      </c>
      <c r="AV6" s="162">
        <f t="shared" si="11"/>
        <v>3000000</v>
      </c>
      <c r="AW6" s="162">
        <f t="shared" si="11"/>
        <v>3000000</v>
      </c>
      <c r="AX6" s="162">
        <f t="shared" si="11"/>
        <v>3000000</v>
      </c>
      <c r="AY6" s="162">
        <f t="shared" si="11"/>
        <v>3000000</v>
      </c>
      <c r="AZ6" s="162">
        <f t="shared" si="11"/>
        <v>3000000</v>
      </c>
      <c r="BA6" s="162">
        <f t="shared" si="11"/>
        <v>3000000</v>
      </c>
      <c r="BB6" s="162">
        <f t="shared" si="11"/>
        <v>3000000</v>
      </c>
      <c r="BC6" s="247">
        <f>+BA6</f>
        <v>3000000</v>
      </c>
      <c r="BD6" s="162">
        <f t="shared" ref="BD6:BO6" si="12">+BC6</f>
        <v>3000000</v>
      </c>
      <c r="BE6" s="162">
        <f t="shared" si="12"/>
        <v>3000000</v>
      </c>
      <c r="BF6" s="162">
        <f t="shared" si="12"/>
        <v>3000000</v>
      </c>
      <c r="BG6" s="162">
        <f t="shared" si="12"/>
        <v>3000000</v>
      </c>
      <c r="BH6" s="162">
        <f t="shared" si="12"/>
        <v>3000000</v>
      </c>
      <c r="BI6" s="162">
        <f t="shared" si="12"/>
        <v>3000000</v>
      </c>
      <c r="BJ6" s="162">
        <f t="shared" si="12"/>
        <v>3000000</v>
      </c>
      <c r="BK6" s="162">
        <f t="shared" si="12"/>
        <v>3000000</v>
      </c>
      <c r="BL6" s="162">
        <f t="shared" si="12"/>
        <v>3000000</v>
      </c>
      <c r="BM6" s="162">
        <f t="shared" si="12"/>
        <v>3000000</v>
      </c>
      <c r="BN6" s="162">
        <f t="shared" si="12"/>
        <v>3000000</v>
      </c>
      <c r="BO6" s="176">
        <f t="shared" si="12"/>
        <v>3000000</v>
      </c>
    </row>
    <row r="7" spans="1:67" x14ac:dyDescent="0.25">
      <c r="A7" s="398" t="s">
        <v>206</v>
      </c>
      <c r="B7" s="166" t="s">
        <v>277</v>
      </c>
      <c r="C7" s="167">
        <v>60</v>
      </c>
      <c r="D7" s="167">
        <v>60</v>
      </c>
      <c r="E7" s="167">
        <v>60</v>
      </c>
      <c r="F7" s="167">
        <v>60</v>
      </c>
      <c r="G7" s="167">
        <v>60</v>
      </c>
      <c r="H7" s="167">
        <v>60</v>
      </c>
      <c r="I7" s="167">
        <v>60</v>
      </c>
      <c r="J7" s="167">
        <v>60</v>
      </c>
      <c r="K7" s="167">
        <v>60</v>
      </c>
      <c r="L7" s="167">
        <v>60</v>
      </c>
      <c r="M7" s="167">
        <v>60</v>
      </c>
      <c r="N7" s="167">
        <v>60</v>
      </c>
      <c r="O7" s="168">
        <f>+N7</f>
        <v>60</v>
      </c>
      <c r="P7" s="167">
        <v>60</v>
      </c>
      <c r="Q7" s="167">
        <v>60</v>
      </c>
      <c r="R7" s="167">
        <v>60</v>
      </c>
      <c r="S7" s="167">
        <v>60</v>
      </c>
      <c r="T7" s="167">
        <v>60</v>
      </c>
      <c r="U7" s="167">
        <v>60</v>
      </c>
      <c r="V7" s="167">
        <v>60</v>
      </c>
      <c r="W7" s="167">
        <v>60</v>
      </c>
      <c r="X7" s="167">
        <v>60</v>
      </c>
      <c r="Y7" s="167">
        <v>60</v>
      </c>
      <c r="Z7" s="167">
        <v>60</v>
      </c>
      <c r="AA7" s="167">
        <v>60</v>
      </c>
      <c r="AB7" s="168">
        <f>+AA7</f>
        <v>60</v>
      </c>
      <c r="AC7" s="167">
        <v>60</v>
      </c>
      <c r="AD7" s="167">
        <v>60</v>
      </c>
      <c r="AE7" s="167">
        <v>60</v>
      </c>
      <c r="AF7" s="167">
        <v>60</v>
      </c>
      <c r="AG7" s="167">
        <v>60</v>
      </c>
      <c r="AH7" s="167">
        <v>60</v>
      </c>
      <c r="AI7" s="167">
        <v>60</v>
      </c>
      <c r="AJ7" s="167">
        <v>60</v>
      </c>
      <c r="AK7" s="167">
        <v>60</v>
      </c>
      <c r="AL7" s="167">
        <v>60</v>
      </c>
      <c r="AM7" s="167">
        <v>60</v>
      </c>
      <c r="AN7" s="167">
        <v>60</v>
      </c>
      <c r="AO7" s="168">
        <f>+AN7</f>
        <v>60</v>
      </c>
      <c r="AP7" s="248">
        <v>60</v>
      </c>
      <c r="AQ7" s="167">
        <v>60</v>
      </c>
      <c r="AR7" s="167">
        <v>60</v>
      </c>
      <c r="AS7" s="167">
        <v>60</v>
      </c>
      <c r="AT7" s="167">
        <v>60</v>
      </c>
      <c r="AU7" s="167">
        <v>60</v>
      </c>
      <c r="AV7" s="167">
        <v>60</v>
      </c>
      <c r="AW7" s="167">
        <v>60</v>
      </c>
      <c r="AX7" s="167">
        <v>60</v>
      </c>
      <c r="AY7" s="167">
        <v>60</v>
      </c>
      <c r="AZ7" s="167">
        <v>60</v>
      </c>
      <c r="BA7" s="167">
        <v>60</v>
      </c>
      <c r="BB7" s="168">
        <f>+BA7</f>
        <v>60</v>
      </c>
      <c r="BC7" s="248">
        <v>60</v>
      </c>
      <c r="BD7" s="167">
        <v>60</v>
      </c>
      <c r="BE7" s="167">
        <v>60</v>
      </c>
      <c r="BF7" s="167">
        <v>60</v>
      </c>
      <c r="BG7" s="167">
        <v>60</v>
      </c>
      <c r="BH7" s="167">
        <v>60</v>
      </c>
      <c r="BI7" s="167">
        <v>60</v>
      </c>
      <c r="BJ7" s="167">
        <v>60</v>
      </c>
      <c r="BK7" s="167">
        <v>60</v>
      </c>
      <c r="BL7" s="167">
        <v>60</v>
      </c>
      <c r="BM7" s="167">
        <v>60</v>
      </c>
      <c r="BN7" s="167">
        <v>60</v>
      </c>
      <c r="BO7" s="177">
        <f>+BN7</f>
        <v>60</v>
      </c>
    </row>
    <row r="8" spans="1:67" x14ac:dyDescent="0.25">
      <c r="A8" s="399"/>
      <c r="B8" s="83" t="s">
        <v>278</v>
      </c>
      <c r="C8" s="100">
        <v>36</v>
      </c>
      <c r="D8" s="100">
        <v>36</v>
      </c>
      <c r="E8" s="100">
        <v>36</v>
      </c>
      <c r="F8" s="100">
        <v>36</v>
      </c>
      <c r="G8" s="100">
        <v>36</v>
      </c>
      <c r="H8" s="100">
        <v>36</v>
      </c>
      <c r="I8" s="100">
        <v>36</v>
      </c>
      <c r="J8" s="100">
        <v>36</v>
      </c>
      <c r="K8" s="100">
        <v>36</v>
      </c>
      <c r="L8" s="100">
        <v>36</v>
      </c>
      <c r="M8" s="100">
        <v>36</v>
      </c>
      <c r="N8" s="100">
        <v>36</v>
      </c>
      <c r="O8" s="115">
        <f>+N8</f>
        <v>36</v>
      </c>
      <c r="P8" s="100">
        <v>36</v>
      </c>
      <c r="Q8" s="100">
        <v>36</v>
      </c>
      <c r="R8" s="100">
        <v>36</v>
      </c>
      <c r="S8" s="100">
        <v>36</v>
      </c>
      <c r="T8" s="100">
        <v>36</v>
      </c>
      <c r="U8" s="100">
        <v>36</v>
      </c>
      <c r="V8" s="100">
        <v>36</v>
      </c>
      <c r="W8" s="100">
        <v>36</v>
      </c>
      <c r="X8" s="100">
        <v>36</v>
      </c>
      <c r="Y8" s="100">
        <v>36</v>
      </c>
      <c r="Z8" s="100">
        <v>36</v>
      </c>
      <c r="AA8" s="100">
        <v>36</v>
      </c>
      <c r="AB8" s="115">
        <f>+AA8</f>
        <v>36</v>
      </c>
      <c r="AC8" s="100">
        <v>36</v>
      </c>
      <c r="AD8" s="100">
        <v>36</v>
      </c>
      <c r="AE8" s="100">
        <v>36</v>
      </c>
      <c r="AF8" s="100">
        <v>36</v>
      </c>
      <c r="AG8" s="100">
        <v>36</v>
      </c>
      <c r="AH8" s="100">
        <v>36</v>
      </c>
      <c r="AI8" s="100">
        <v>36</v>
      </c>
      <c r="AJ8" s="100">
        <v>36</v>
      </c>
      <c r="AK8" s="100">
        <v>36</v>
      </c>
      <c r="AL8" s="100">
        <v>36</v>
      </c>
      <c r="AM8" s="100">
        <v>36</v>
      </c>
      <c r="AN8" s="100">
        <v>36</v>
      </c>
      <c r="AO8" s="115">
        <f>+AN8</f>
        <v>36</v>
      </c>
      <c r="AP8" s="249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0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15">
        <v>0</v>
      </c>
      <c r="BC8" s="249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17">
        <v>0</v>
      </c>
    </row>
    <row r="9" spans="1:67" ht="15.75" thickBot="1" x14ac:dyDescent="0.3">
      <c r="A9" s="400"/>
      <c r="B9" s="169" t="s">
        <v>103</v>
      </c>
      <c r="C9" s="109">
        <f t="shared" ref="C9:N9" si="13">(C5/C7)+(C6/C8)</f>
        <v>216666.66666666669</v>
      </c>
      <c r="D9" s="109">
        <f t="shared" si="13"/>
        <v>216666.66666666669</v>
      </c>
      <c r="E9" s="109">
        <f t="shared" si="13"/>
        <v>216666.66666666669</v>
      </c>
      <c r="F9" s="109">
        <f t="shared" si="13"/>
        <v>216666.66666666669</v>
      </c>
      <c r="G9" s="109">
        <f t="shared" si="13"/>
        <v>216666.66666666669</v>
      </c>
      <c r="H9" s="109">
        <f t="shared" si="13"/>
        <v>216666.66666666669</v>
      </c>
      <c r="I9" s="109">
        <f t="shared" si="13"/>
        <v>216666.66666666669</v>
      </c>
      <c r="J9" s="109">
        <f t="shared" si="13"/>
        <v>216666.66666666669</v>
      </c>
      <c r="K9" s="109">
        <f t="shared" si="13"/>
        <v>216666.66666666669</v>
      </c>
      <c r="L9" s="109">
        <f t="shared" si="13"/>
        <v>216666.66666666669</v>
      </c>
      <c r="M9" s="109">
        <f t="shared" si="13"/>
        <v>216666.66666666669</v>
      </c>
      <c r="N9" s="109">
        <f t="shared" si="13"/>
        <v>216666.66666666669</v>
      </c>
      <c r="O9" s="109">
        <f>SUM(C9:N9)</f>
        <v>2600000</v>
      </c>
      <c r="P9" s="109">
        <f t="shared" ref="P9:AA9" si="14">(P5/P7)+(P6/P8)</f>
        <v>216666.66666666669</v>
      </c>
      <c r="Q9" s="109">
        <f t="shared" si="14"/>
        <v>216666.66666666669</v>
      </c>
      <c r="R9" s="109">
        <f t="shared" si="14"/>
        <v>216666.66666666669</v>
      </c>
      <c r="S9" s="109">
        <f t="shared" si="14"/>
        <v>216666.66666666669</v>
      </c>
      <c r="T9" s="109">
        <f t="shared" si="14"/>
        <v>216666.66666666669</v>
      </c>
      <c r="U9" s="109">
        <f t="shared" si="14"/>
        <v>216666.66666666669</v>
      </c>
      <c r="V9" s="109">
        <f t="shared" si="14"/>
        <v>216666.66666666669</v>
      </c>
      <c r="W9" s="109">
        <f t="shared" si="14"/>
        <v>216666.66666666669</v>
      </c>
      <c r="X9" s="109">
        <f t="shared" si="14"/>
        <v>216666.66666666669</v>
      </c>
      <c r="Y9" s="109">
        <f t="shared" si="14"/>
        <v>216666.66666666669</v>
      </c>
      <c r="Z9" s="109">
        <f t="shared" si="14"/>
        <v>216666.66666666669</v>
      </c>
      <c r="AA9" s="109">
        <f t="shared" si="14"/>
        <v>216666.66666666669</v>
      </c>
      <c r="AB9" s="109">
        <f>SUM(P9:AA9)</f>
        <v>2600000</v>
      </c>
      <c r="AC9" s="109">
        <f t="shared" ref="AC9:AN9" si="15">(AC5/AC7)+(AC6/AC8)</f>
        <v>216666.66666666669</v>
      </c>
      <c r="AD9" s="109">
        <f t="shared" si="15"/>
        <v>216666.66666666669</v>
      </c>
      <c r="AE9" s="109">
        <f t="shared" si="15"/>
        <v>216666.66666666669</v>
      </c>
      <c r="AF9" s="109">
        <f t="shared" si="15"/>
        <v>216666.66666666669</v>
      </c>
      <c r="AG9" s="109">
        <f t="shared" si="15"/>
        <v>216666.66666666669</v>
      </c>
      <c r="AH9" s="109">
        <f t="shared" si="15"/>
        <v>216666.66666666669</v>
      </c>
      <c r="AI9" s="109">
        <f t="shared" si="15"/>
        <v>216666.66666666669</v>
      </c>
      <c r="AJ9" s="109">
        <f t="shared" si="15"/>
        <v>216666.66666666669</v>
      </c>
      <c r="AK9" s="109">
        <f t="shared" si="15"/>
        <v>216666.66666666669</v>
      </c>
      <c r="AL9" s="109">
        <f t="shared" si="15"/>
        <v>216666.66666666669</v>
      </c>
      <c r="AM9" s="109">
        <f t="shared" si="15"/>
        <v>216666.66666666669</v>
      </c>
      <c r="AN9" s="109">
        <f t="shared" si="15"/>
        <v>216666.66666666669</v>
      </c>
      <c r="AO9" s="109">
        <f>SUM(AC9:AN9)</f>
        <v>2600000</v>
      </c>
      <c r="AP9" s="250">
        <f>(AP5/AP7)</f>
        <v>133333.33333333334</v>
      </c>
      <c r="AQ9" s="109">
        <f t="shared" ref="AQ9:BN9" si="16">(AQ5/AQ7)</f>
        <v>133333.33333333334</v>
      </c>
      <c r="AR9" s="109">
        <f t="shared" si="16"/>
        <v>133333.33333333334</v>
      </c>
      <c r="AS9" s="109">
        <f t="shared" si="16"/>
        <v>133333.33333333334</v>
      </c>
      <c r="AT9" s="109">
        <f t="shared" si="16"/>
        <v>133333.33333333334</v>
      </c>
      <c r="AU9" s="109">
        <f t="shared" si="16"/>
        <v>133333.33333333334</v>
      </c>
      <c r="AV9" s="109">
        <f t="shared" si="16"/>
        <v>133333.33333333334</v>
      </c>
      <c r="AW9" s="109">
        <f t="shared" si="16"/>
        <v>133333.33333333334</v>
      </c>
      <c r="AX9" s="109">
        <f t="shared" si="16"/>
        <v>133333.33333333334</v>
      </c>
      <c r="AY9" s="109">
        <f t="shared" si="16"/>
        <v>133333.33333333334</v>
      </c>
      <c r="AZ9" s="109">
        <f t="shared" si="16"/>
        <v>133333.33333333334</v>
      </c>
      <c r="BA9" s="109">
        <f t="shared" si="16"/>
        <v>133333.33333333334</v>
      </c>
      <c r="BB9" s="109">
        <f>SUM(AP9:BA9)</f>
        <v>1599999.9999999998</v>
      </c>
      <c r="BC9" s="250">
        <f t="shared" si="16"/>
        <v>133333.33333333334</v>
      </c>
      <c r="BD9" s="109">
        <f t="shared" si="16"/>
        <v>133333.33333333334</v>
      </c>
      <c r="BE9" s="109">
        <f t="shared" si="16"/>
        <v>133333.33333333334</v>
      </c>
      <c r="BF9" s="109">
        <f t="shared" si="16"/>
        <v>133333.33333333334</v>
      </c>
      <c r="BG9" s="109">
        <f t="shared" si="16"/>
        <v>133333.33333333334</v>
      </c>
      <c r="BH9" s="109">
        <f t="shared" si="16"/>
        <v>133333.33333333334</v>
      </c>
      <c r="BI9" s="109">
        <f t="shared" si="16"/>
        <v>133333.33333333334</v>
      </c>
      <c r="BJ9" s="109">
        <f t="shared" si="16"/>
        <v>133333.33333333334</v>
      </c>
      <c r="BK9" s="109">
        <f t="shared" si="16"/>
        <v>133333.33333333334</v>
      </c>
      <c r="BL9" s="109">
        <f t="shared" si="16"/>
        <v>133333.33333333334</v>
      </c>
      <c r="BM9" s="109">
        <f t="shared" si="16"/>
        <v>133333.33333333334</v>
      </c>
      <c r="BN9" s="109">
        <f t="shared" si="16"/>
        <v>133333.33333333334</v>
      </c>
      <c r="BO9" s="110">
        <f>SUM(BC9:BN9)</f>
        <v>1599999.9999999998</v>
      </c>
    </row>
    <row r="10" spans="1:67" x14ac:dyDescent="0.25">
      <c r="A10" s="391" t="s">
        <v>249</v>
      </c>
      <c r="B10" s="122" t="s">
        <v>250</v>
      </c>
      <c r="C10" s="163">
        <v>3000000</v>
      </c>
      <c r="D10" s="164">
        <f>+C10</f>
        <v>3000000</v>
      </c>
      <c r="E10" s="164">
        <f t="shared" ref="E10:N10" si="17">+D10</f>
        <v>3000000</v>
      </c>
      <c r="F10" s="164">
        <f t="shared" si="17"/>
        <v>3000000</v>
      </c>
      <c r="G10" s="164">
        <f t="shared" si="17"/>
        <v>3000000</v>
      </c>
      <c r="H10" s="164">
        <f t="shared" si="17"/>
        <v>3000000</v>
      </c>
      <c r="I10" s="164">
        <f t="shared" si="17"/>
        <v>3000000</v>
      </c>
      <c r="J10" s="164">
        <f t="shared" si="17"/>
        <v>3000000</v>
      </c>
      <c r="K10" s="164">
        <f t="shared" si="17"/>
        <v>3000000</v>
      </c>
      <c r="L10" s="164">
        <f t="shared" si="17"/>
        <v>3000000</v>
      </c>
      <c r="M10" s="164">
        <f t="shared" si="17"/>
        <v>3000000</v>
      </c>
      <c r="N10" s="164">
        <f t="shared" si="17"/>
        <v>3000000</v>
      </c>
      <c r="O10" s="165">
        <f>+N10</f>
        <v>3000000</v>
      </c>
      <c r="P10" s="165">
        <f>ROUND(+N10*(1+N11),0)</f>
        <v>3120000</v>
      </c>
      <c r="Q10" s="165">
        <f>+P10</f>
        <v>3120000</v>
      </c>
      <c r="R10" s="165">
        <f t="shared" ref="R10:AA10" si="18">+Q10</f>
        <v>3120000</v>
      </c>
      <c r="S10" s="165">
        <f t="shared" si="18"/>
        <v>3120000</v>
      </c>
      <c r="T10" s="165">
        <f t="shared" si="18"/>
        <v>3120000</v>
      </c>
      <c r="U10" s="165">
        <f t="shared" si="18"/>
        <v>3120000</v>
      </c>
      <c r="V10" s="165">
        <f t="shared" si="18"/>
        <v>3120000</v>
      </c>
      <c r="W10" s="165">
        <f t="shared" si="18"/>
        <v>3120000</v>
      </c>
      <c r="X10" s="165">
        <f t="shared" si="18"/>
        <v>3120000</v>
      </c>
      <c r="Y10" s="165">
        <f t="shared" si="18"/>
        <v>3120000</v>
      </c>
      <c r="Z10" s="165">
        <f t="shared" si="18"/>
        <v>3120000</v>
      </c>
      <c r="AA10" s="165">
        <f t="shared" si="18"/>
        <v>3120000</v>
      </c>
      <c r="AB10" s="165">
        <f>+AA10</f>
        <v>3120000</v>
      </c>
      <c r="AC10" s="165">
        <f>ROUND(AA10*(1+AA11),0)</f>
        <v>3244800</v>
      </c>
      <c r="AD10" s="165">
        <f>+AC10</f>
        <v>3244800</v>
      </c>
      <c r="AE10" s="165">
        <f t="shared" ref="AE10:AN10" si="19">+AD10</f>
        <v>3244800</v>
      </c>
      <c r="AF10" s="165">
        <f t="shared" si="19"/>
        <v>3244800</v>
      </c>
      <c r="AG10" s="165">
        <f t="shared" si="19"/>
        <v>3244800</v>
      </c>
      <c r="AH10" s="165">
        <f t="shared" si="19"/>
        <v>3244800</v>
      </c>
      <c r="AI10" s="165">
        <f t="shared" si="19"/>
        <v>3244800</v>
      </c>
      <c r="AJ10" s="165">
        <f t="shared" si="19"/>
        <v>3244800</v>
      </c>
      <c r="AK10" s="165">
        <f t="shared" si="19"/>
        <v>3244800</v>
      </c>
      <c r="AL10" s="165">
        <f t="shared" si="19"/>
        <v>3244800</v>
      </c>
      <c r="AM10" s="165">
        <f t="shared" si="19"/>
        <v>3244800</v>
      </c>
      <c r="AN10" s="165">
        <f t="shared" si="19"/>
        <v>3244800</v>
      </c>
      <c r="AO10" s="165">
        <f>+AN10</f>
        <v>3244800</v>
      </c>
      <c r="AP10" s="251">
        <f>ROUND(AN10*(1+AN11),0)</f>
        <v>3374592</v>
      </c>
      <c r="AQ10" s="165">
        <f t="shared" ref="AQ10:BB10" si="20">+AP10</f>
        <v>3374592</v>
      </c>
      <c r="AR10" s="165">
        <f t="shared" si="20"/>
        <v>3374592</v>
      </c>
      <c r="AS10" s="165">
        <f t="shared" si="20"/>
        <v>3374592</v>
      </c>
      <c r="AT10" s="165">
        <f t="shared" si="20"/>
        <v>3374592</v>
      </c>
      <c r="AU10" s="165">
        <f t="shared" si="20"/>
        <v>3374592</v>
      </c>
      <c r="AV10" s="165">
        <f t="shared" si="20"/>
        <v>3374592</v>
      </c>
      <c r="AW10" s="165">
        <f t="shared" si="20"/>
        <v>3374592</v>
      </c>
      <c r="AX10" s="165">
        <f t="shared" si="20"/>
        <v>3374592</v>
      </c>
      <c r="AY10" s="165">
        <f t="shared" si="20"/>
        <v>3374592</v>
      </c>
      <c r="AZ10" s="165">
        <f t="shared" si="20"/>
        <v>3374592</v>
      </c>
      <c r="BA10" s="165">
        <f t="shared" si="20"/>
        <v>3374592</v>
      </c>
      <c r="BB10" s="165">
        <f t="shared" si="20"/>
        <v>3374592</v>
      </c>
      <c r="BC10" s="251">
        <f>ROUND(BA10*(1+BA11),0)</f>
        <v>3509576</v>
      </c>
      <c r="BD10" s="165">
        <f t="shared" ref="BD10:BO10" si="21">+BC10</f>
        <v>3509576</v>
      </c>
      <c r="BE10" s="165">
        <f t="shared" si="21"/>
        <v>3509576</v>
      </c>
      <c r="BF10" s="165">
        <f t="shared" si="21"/>
        <v>3509576</v>
      </c>
      <c r="BG10" s="165">
        <f t="shared" si="21"/>
        <v>3509576</v>
      </c>
      <c r="BH10" s="165">
        <f t="shared" si="21"/>
        <v>3509576</v>
      </c>
      <c r="BI10" s="165">
        <f t="shared" si="21"/>
        <v>3509576</v>
      </c>
      <c r="BJ10" s="165">
        <f t="shared" si="21"/>
        <v>3509576</v>
      </c>
      <c r="BK10" s="165">
        <f t="shared" si="21"/>
        <v>3509576</v>
      </c>
      <c r="BL10" s="165">
        <f t="shared" si="21"/>
        <v>3509576</v>
      </c>
      <c r="BM10" s="165">
        <f t="shared" si="21"/>
        <v>3509576</v>
      </c>
      <c r="BN10" s="165">
        <f t="shared" si="21"/>
        <v>3509576</v>
      </c>
      <c r="BO10" s="178">
        <f t="shared" si="21"/>
        <v>3509576</v>
      </c>
    </row>
    <row r="11" spans="1:67" x14ac:dyDescent="0.25">
      <c r="A11" s="399"/>
      <c r="B11" s="58" t="s">
        <v>102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77">
        <v>0.04</v>
      </c>
      <c r="O11" s="78">
        <f>+N11</f>
        <v>0.04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77">
        <v>0.04</v>
      </c>
      <c r="AB11" s="78">
        <f>+AA11</f>
        <v>0.04</v>
      </c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77">
        <v>0.04</v>
      </c>
      <c r="AO11" s="78">
        <f>+AN11</f>
        <v>0.04</v>
      </c>
      <c r="AP11" s="19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77">
        <v>0.04</v>
      </c>
      <c r="BB11" s="78">
        <f>+BA11</f>
        <v>0.04</v>
      </c>
      <c r="BC11" s="19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77">
        <v>0.04</v>
      </c>
      <c r="BO11" s="307">
        <f>+BN11</f>
        <v>0.04</v>
      </c>
    </row>
    <row r="12" spans="1:67" ht="15.75" thickBot="1" x14ac:dyDescent="0.3">
      <c r="A12" s="389"/>
      <c r="B12" s="170" t="s">
        <v>251</v>
      </c>
      <c r="C12" s="171">
        <f>+C10</f>
        <v>3000000</v>
      </c>
      <c r="D12" s="171">
        <f t="shared" ref="D12:AN12" si="22">+D10</f>
        <v>3000000</v>
      </c>
      <c r="E12" s="171">
        <f t="shared" si="22"/>
        <v>3000000</v>
      </c>
      <c r="F12" s="171">
        <f t="shared" si="22"/>
        <v>3000000</v>
      </c>
      <c r="G12" s="171">
        <f t="shared" si="22"/>
        <v>3000000</v>
      </c>
      <c r="H12" s="171">
        <f t="shared" si="22"/>
        <v>3000000</v>
      </c>
      <c r="I12" s="171">
        <f t="shared" si="22"/>
        <v>3000000</v>
      </c>
      <c r="J12" s="171">
        <f t="shared" si="22"/>
        <v>3000000</v>
      </c>
      <c r="K12" s="171">
        <f t="shared" si="22"/>
        <v>3000000</v>
      </c>
      <c r="L12" s="171">
        <f t="shared" si="22"/>
        <v>3000000</v>
      </c>
      <c r="M12" s="171">
        <f t="shared" si="22"/>
        <v>3000000</v>
      </c>
      <c r="N12" s="171">
        <f t="shared" si="22"/>
        <v>3000000</v>
      </c>
      <c r="O12" s="171">
        <f>SUM(C12:N12)</f>
        <v>36000000</v>
      </c>
      <c r="P12" s="171">
        <f t="shared" si="22"/>
        <v>3120000</v>
      </c>
      <c r="Q12" s="171">
        <f t="shared" si="22"/>
        <v>3120000</v>
      </c>
      <c r="R12" s="171">
        <f t="shared" si="22"/>
        <v>3120000</v>
      </c>
      <c r="S12" s="171">
        <f t="shared" si="22"/>
        <v>3120000</v>
      </c>
      <c r="T12" s="171">
        <f t="shared" si="22"/>
        <v>3120000</v>
      </c>
      <c r="U12" s="171">
        <f t="shared" si="22"/>
        <v>3120000</v>
      </c>
      <c r="V12" s="171">
        <f t="shared" si="22"/>
        <v>3120000</v>
      </c>
      <c r="W12" s="171">
        <f t="shared" si="22"/>
        <v>3120000</v>
      </c>
      <c r="X12" s="171">
        <f t="shared" si="22"/>
        <v>3120000</v>
      </c>
      <c r="Y12" s="171">
        <f t="shared" si="22"/>
        <v>3120000</v>
      </c>
      <c r="Z12" s="171">
        <f t="shared" si="22"/>
        <v>3120000</v>
      </c>
      <c r="AA12" s="171">
        <f t="shared" si="22"/>
        <v>3120000</v>
      </c>
      <c r="AB12" s="171">
        <f>SUM(P12:AA12)</f>
        <v>37440000</v>
      </c>
      <c r="AC12" s="171">
        <f t="shared" si="22"/>
        <v>3244800</v>
      </c>
      <c r="AD12" s="171">
        <f t="shared" si="22"/>
        <v>3244800</v>
      </c>
      <c r="AE12" s="171">
        <f t="shared" si="22"/>
        <v>3244800</v>
      </c>
      <c r="AF12" s="171">
        <f t="shared" si="22"/>
        <v>3244800</v>
      </c>
      <c r="AG12" s="171">
        <f t="shared" si="22"/>
        <v>3244800</v>
      </c>
      <c r="AH12" s="171">
        <f t="shared" si="22"/>
        <v>3244800</v>
      </c>
      <c r="AI12" s="171">
        <f t="shared" si="22"/>
        <v>3244800</v>
      </c>
      <c r="AJ12" s="171">
        <f t="shared" si="22"/>
        <v>3244800</v>
      </c>
      <c r="AK12" s="171">
        <f t="shared" si="22"/>
        <v>3244800</v>
      </c>
      <c r="AL12" s="171">
        <f t="shared" si="22"/>
        <v>3244800</v>
      </c>
      <c r="AM12" s="171">
        <f t="shared" si="22"/>
        <v>3244800</v>
      </c>
      <c r="AN12" s="171">
        <f t="shared" si="22"/>
        <v>3244800</v>
      </c>
      <c r="AO12" s="171">
        <f>SUM(AC12:AN12)</f>
        <v>38937600</v>
      </c>
      <c r="AP12" s="252">
        <f t="shared" ref="AP12:BA12" si="23">+AP10</f>
        <v>3374592</v>
      </c>
      <c r="AQ12" s="171">
        <f t="shared" si="23"/>
        <v>3374592</v>
      </c>
      <c r="AR12" s="171">
        <f t="shared" si="23"/>
        <v>3374592</v>
      </c>
      <c r="AS12" s="171">
        <f t="shared" si="23"/>
        <v>3374592</v>
      </c>
      <c r="AT12" s="171">
        <f t="shared" si="23"/>
        <v>3374592</v>
      </c>
      <c r="AU12" s="171">
        <f t="shared" si="23"/>
        <v>3374592</v>
      </c>
      <c r="AV12" s="171">
        <f t="shared" si="23"/>
        <v>3374592</v>
      </c>
      <c r="AW12" s="171">
        <f t="shared" si="23"/>
        <v>3374592</v>
      </c>
      <c r="AX12" s="171">
        <f t="shared" si="23"/>
        <v>3374592</v>
      </c>
      <c r="AY12" s="171">
        <f t="shared" si="23"/>
        <v>3374592</v>
      </c>
      <c r="AZ12" s="171">
        <f t="shared" si="23"/>
        <v>3374592</v>
      </c>
      <c r="BA12" s="171">
        <f t="shared" si="23"/>
        <v>3374592</v>
      </c>
      <c r="BB12" s="171">
        <f>SUM(AP12:BA12)</f>
        <v>40495104</v>
      </c>
      <c r="BC12" s="252">
        <f t="shared" ref="BC12:BN12" si="24">+BC10</f>
        <v>3509576</v>
      </c>
      <c r="BD12" s="171">
        <f t="shared" si="24"/>
        <v>3509576</v>
      </c>
      <c r="BE12" s="171">
        <f t="shared" si="24"/>
        <v>3509576</v>
      </c>
      <c r="BF12" s="171">
        <f t="shared" si="24"/>
        <v>3509576</v>
      </c>
      <c r="BG12" s="171">
        <f t="shared" si="24"/>
        <v>3509576</v>
      </c>
      <c r="BH12" s="171">
        <f t="shared" si="24"/>
        <v>3509576</v>
      </c>
      <c r="BI12" s="171">
        <f t="shared" si="24"/>
        <v>3509576</v>
      </c>
      <c r="BJ12" s="171">
        <f t="shared" si="24"/>
        <v>3509576</v>
      </c>
      <c r="BK12" s="171">
        <f t="shared" si="24"/>
        <v>3509576</v>
      </c>
      <c r="BL12" s="171">
        <f t="shared" si="24"/>
        <v>3509576</v>
      </c>
      <c r="BM12" s="171">
        <f t="shared" si="24"/>
        <v>3509576</v>
      </c>
      <c r="BN12" s="171">
        <f t="shared" si="24"/>
        <v>3509576</v>
      </c>
      <c r="BO12" s="172">
        <f>SUM(BC12:BN12)</f>
        <v>42114912</v>
      </c>
    </row>
    <row r="13" spans="1:67" x14ac:dyDescent="0.25">
      <c r="A13" s="398" t="s">
        <v>252</v>
      </c>
      <c r="B13" s="166" t="s">
        <v>253</v>
      </c>
      <c r="C13" s="173">
        <v>300000</v>
      </c>
      <c r="D13" s="174">
        <f t="shared" ref="D13:O13" si="25">+C13</f>
        <v>300000</v>
      </c>
      <c r="E13" s="174">
        <f t="shared" si="25"/>
        <v>300000</v>
      </c>
      <c r="F13" s="174">
        <f t="shared" si="25"/>
        <v>300000</v>
      </c>
      <c r="G13" s="174">
        <f t="shared" si="25"/>
        <v>300000</v>
      </c>
      <c r="H13" s="174">
        <f t="shared" si="25"/>
        <v>300000</v>
      </c>
      <c r="I13" s="174">
        <f t="shared" si="25"/>
        <v>300000</v>
      </c>
      <c r="J13" s="174">
        <f t="shared" si="25"/>
        <v>300000</v>
      </c>
      <c r="K13" s="174">
        <f t="shared" si="25"/>
        <v>300000</v>
      </c>
      <c r="L13" s="174">
        <f t="shared" si="25"/>
        <v>300000</v>
      </c>
      <c r="M13" s="174">
        <f t="shared" si="25"/>
        <v>300000</v>
      </c>
      <c r="N13" s="174">
        <f t="shared" si="25"/>
        <v>300000</v>
      </c>
      <c r="O13" s="175">
        <f t="shared" si="25"/>
        <v>300000</v>
      </c>
      <c r="P13" s="175">
        <f>ROUND(+N13*(1+N$11),0)</f>
        <v>312000</v>
      </c>
      <c r="Q13" s="175">
        <f t="shared" ref="Q13:AB13" si="26">+P13</f>
        <v>312000</v>
      </c>
      <c r="R13" s="175">
        <f t="shared" si="26"/>
        <v>312000</v>
      </c>
      <c r="S13" s="175">
        <f t="shared" si="26"/>
        <v>312000</v>
      </c>
      <c r="T13" s="175">
        <f t="shared" si="26"/>
        <v>312000</v>
      </c>
      <c r="U13" s="175">
        <f t="shared" si="26"/>
        <v>312000</v>
      </c>
      <c r="V13" s="175">
        <f t="shared" si="26"/>
        <v>312000</v>
      </c>
      <c r="W13" s="175">
        <f t="shared" si="26"/>
        <v>312000</v>
      </c>
      <c r="X13" s="175">
        <f t="shared" si="26"/>
        <v>312000</v>
      </c>
      <c r="Y13" s="175">
        <f t="shared" si="26"/>
        <v>312000</v>
      </c>
      <c r="Z13" s="175">
        <f t="shared" si="26"/>
        <v>312000</v>
      </c>
      <c r="AA13" s="175">
        <f t="shared" si="26"/>
        <v>312000</v>
      </c>
      <c r="AB13" s="175">
        <f t="shared" si="26"/>
        <v>312000</v>
      </c>
      <c r="AC13" s="175">
        <f>ROUND(+AA13*(1+AA$11),0)</f>
        <v>324480</v>
      </c>
      <c r="AD13" s="175">
        <f t="shared" ref="AD13:AO13" si="27">+AC13</f>
        <v>324480</v>
      </c>
      <c r="AE13" s="175">
        <f t="shared" si="27"/>
        <v>324480</v>
      </c>
      <c r="AF13" s="175">
        <f t="shared" si="27"/>
        <v>324480</v>
      </c>
      <c r="AG13" s="175">
        <f t="shared" si="27"/>
        <v>324480</v>
      </c>
      <c r="AH13" s="175">
        <f t="shared" si="27"/>
        <v>324480</v>
      </c>
      <c r="AI13" s="175">
        <f t="shared" si="27"/>
        <v>324480</v>
      </c>
      <c r="AJ13" s="175">
        <f t="shared" si="27"/>
        <v>324480</v>
      </c>
      <c r="AK13" s="175">
        <f t="shared" si="27"/>
        <v>324480</v>
      </c>
      <c r="AL13" s="175">
        <f t="shared" si="27"/>
        <v>324480</v>
      </c>
      <c r="AM13" s="175">
        <f t="shared" si="27"/>
        <v>324480</v>
      </c>
      <c r="AN13" s="175">
        <f t="shared" si="27"/>
        <v>324480</v>
      </c>
      <c r="AO13" s="175">
        <f t="shared" si="27"/>
        <v>324480</v>
      </c>
      <c r="AP13" s="253">
        <f>ROUND(+AN13*(1+AN$11),0)</f>
        <v>337459</v>
      </c>
      <c r="AQ13" s="175">
        <f t="shared" ref="AQ13:BB13" si="28">+AP13</f>
        <v>337459</v>
      </c>
      <c r="AR13" s="175">
        <f t="shared" si="28"/>
        <v>337459</v>
      </c>
      <c r="AS13" s="175">
        <f t="shared" si="28"/>
        <v>337459</v>
      </c>
      <c r="AT13" s="175">
        <f t="shared" si="28"/>
        <v>337459</v>
      </c>
      <c r="AU13" s="175">
        <f t="shared" si="28"/>
        <v>337459</v>
      </c>
      <c r="AV13" s="175">
        <f t="shared" si="28"/>
        <v>337459</v>
      </c>
      <c r="AW13" s="175">
        <f t="shared" si="28"/>
        <v>337459</v>
      </c>
      <c r="AX13" s="175">
        <f t="shared" si="28"/>
        <v>337459</v>
      </c>
      <c r="AY13" s="175">
        <f t="shared" si="28"/>
        <v>337459</v>
      </c>
      <c r="AZ13" s="175">
        <f t="shared" si="28"/>
        <v>337459</v>
      </c>
      <c r="BA13" s="175">
        <f t="shared" si="28"/>
        <v>337459</v>
      </c>
      <c r="BB13" s="175">
        <f t="shared" si="28"/>
        <v>337459</v>
      </c>
      <c r="BC13" s="253">
        <f>ROUND(+BA13*(1+BA$11),0)</f>
        <v>350957</v>
      </c>
      <c r="BD13" s="175">
        <f t="shared" ref="BD13:BO13" si="29">+BC13</f>
        <v>350957</v>
      </c>
      <c r="BE13" s="175">
        <f t="shared" si="29"/>
        <v>350957</v>
      </c>
      <c r="BF13" s="175">
        <f t="shared" si="29"/>
        <v>350957</v>
      </c>
      <c r="BG13" s="175">
        <f t="shared" si="29"/>
        <v>350957</v>
      </c>
      <c r="BH13" s="175">
        <f t="shared" si="29"/>
        <v>350957</v>
      </c>
      <c r="BI13" s="175">
        <f t="shared" si="29"/>
        <v>350957</v>
      </c>
      <c r="BJ13" s="175">
        <f t="shared" si="29"/>
        <v>350957</v>
      </c>
      <c r="BK13" s="175">
        <f t="shared" si="29"/>
        <v>350957</v>
      </c>
      <c r="BL13" s="175">
        <f t="shared" si="29"/>
        <v>350957</v>
      </c>
      <c r="BM13" s="175">
        <f t="shared" si="29"/>
        <v>350957</v>
      </c>
      <c r="BN13" s="175">
        <f t="shared" si="29"/>
        <v>350957</v>
      </c>
      <c r="BO13" s="179">
        <f t="shared" si="29"/>
        <v>350957</v>
      </c>
    </row>
    <row r="14" spans="1:67" x14ac:dyDescent="0.25">
      <c r="A14" s="399"/>
      <c r="B14" s="83" t="s">
        <v>254</v>
      </c>
      <c r="C14" s="102">
        <v>200000</v>
      </c>
      <c r="D14" s="74">
        <f t="shared" ref="D14:O14" si="30">+C14</f>
        <v>200000</v>
      </c>
      <c r="E14" s="74">
        <f t="shared" si="30"/>
        <v>200000</v>
      </c>
      <c r="F14" s="74">
        <f t="shared" si="30"/>
        <v>200000</v>
      </c>
      <c r="G14" s="74">
        <f t="shared" si="30"/>
        <v>200000</v>
      </c>
      <c r="H14" s="74">
        <f t="shared" si="30"/>
        <v>200000</v>
      </c>
      <c r="I14" s="74">
        <f t="shared" si="30"/>
        <v>200000</v>
      </c>
      <c r="J14" s="74">
        <f t="shared" si="30"/>
        <v>200000</v>
      </c>
      <c r="K14" s="74">
        <f t="shared" si="30"/>
        <v>200000</v>
      </c>
      <c r="L14" s="74">
        <f t="shared" si="30"/>
        <v>200000</v>
      </c>
      <c r="M14" s="74">
        <f t="shared" si="30"/>
        <v>200000</v>
      </c>
      <c r="N14" s="74">
        <f t="shared" si="30"/>
        <v>200000</v>
      </c>
      <c r="O14" s="75">
        <f t="shared" si="30"/>
        <v>200000</v>
      </c>
      <c r="P14" s="75">
        <f>ROUND(+N14*(1+N$11),0)</f>
        <v>208000</v>
      </c>
      <c r="Q14" s="75">
        <f t="shared" ref="Q14:AB14" si="31">+P14</f>
        <v>208000</v>
      </c>
      <c r="R14" s="75">
        <f t="shared" si="31"/>
        <v>208000</v>
      </c>
      <c r="S14" s="75">
        <f t="shared" si="31"/>
        <v>208000</v>
      </c>
      <c r="T14" s="75">
        <f t="shared" si="31"/>
        <v>208000</v>
      </c>
      <c r="U14" s="75">
        <f t="shared" si="31"/>
        <v>208000</v>
      </c>
      <c r="V14" s="75">
        <f t="shared" si="31"/>
        <v>208000</v>
      </c>
      <c r="W14" s="75">
        <f t="shared" si="31"/>
        <v>208000</v>
      </c>
      <c r="X14" s="75">
        <f t="shared" si="31"/>
        <v>208000</v>
      </c>
      <c r="Y14" s="75">
        <f t="shared" si="31"/>
        <v>208000</v>
      </c>
      <c r="Z14" s="75">
        <f t="shared" si="31"/>
        <v>208000</v>
      </c>
      <c r="AA14" s="75">
        <f t="shared" si="31"/>
        <v>208000</v>
      </c>
      <c r="AB14" s="75">
        <f t="shared" si="31"/>
        <v>208000</v>
      </c>
      <c r="AC14" s="75">
        <f>ROUND(+AA14*(1+AA$11),0)</f>
        <v>216320</v>
      </c>
      <c r="AD14" s="75">
        <f t="shared" ref="AD14:AO14" si="32">+AC14</f>
        <v>216320</v>
      </c>
      <c r="AE14" s="75">
        <f t="shared" si="32"/>
        <v>216320</v>
      </c>
      <c r="AF14" s="75">
        <f t="shared" si="32"/>
        <v>216320</v>
      </c>
      <c r="AG14" s="75">
        <f t="shared" si="32"/>
        <v>216320</v>
      </c>
      <c r="AH14" s="75">
        <f t="shared" si="32"/>
        <v>216320</v>
      </c>
      <c r="AI14" s="75">
        <f t="shared" si="32"/>
        <v>216320</v>
      </c>
      <c r="AJ14" s="75">
        <f t="shared" si="32"/>
        <v>216320</v>
      </c>
      <c r="AK14" s="75">
        <f t="shared" si="32"/>
        <v>216320</v>
      </c>
      <c r="AL14" s="75">
        <f t="shared" si="32"/>
        <v>216320</v>
      </c>
      <c r="AM14" s="75">
        <f t="shared" si="32"/>
        <v>216320</v>
      </c>
      <c r="AN14" s="75">
        <f t="shared" si="32"/>
        <v>216320</v>
      </c>
      <c r="AO14" s="75">
        <f t="shared" si="32"/>
        <v>216320</v>
      </c>
      <c r="AP14" s="254">
        <f>ROUND(+AN14*(1+AN$11),0)</f>
        <v>224973</v>
      </c>
      <c r="AQ14" s="75">
        <f t="shared" ref="AQ14:BB14" si="33">+AP14</f>
        <v>224973</v>
      </c>
      <c r="AR14" s="75">
        <f t="shared" si="33"/>
        <v>224973</v>
      </c>
      <c r="AS14" s="75">
        <f t="shared" si="33"/>
        <v>224973</v>
      </c>
      <c r="AT14" s="75">
        <f t="shared" si="33"/>
        <v>224973</v>
      </c>
      <c r="AU14" s="75">
        <f t="shared" si="33"/>
        <v>224973</v>
      </c>
      <c r="AV14" s="75">
        <f t="shared" si="33"/>
        <v>224973</v>
      </c>
      <c r="AW14" s="75">
        <f t="shared" si="33"/>
        <v>224973</v>
      </c>
      <c r="AX14" s="75">
        <f t="shared" si="33"/>
        <v>224973</v>
      </c>
      <c r="AY14" s="75">
        <f t="shared" si="33"/>
        <v>224973</v>
      </c>
      <c r="AZ14" s="75">
        <f t="shared" si="33"/>
        <v>224973</v>
      </c>
      <c r="BA14" s="75">
        <f t="shared" si="33"/>
        <v>224973</v>
      </c>
      <c r="BB14" s="75">
        <f t="shared" si="33"/>
        <v>224973</v>
      </c>
      <c r="BC14" s="254">
        <f>ROUND(+BA14*(1+BA$11),0)</f>
        <v>233972</v>
      </c>
      <c r="BD14" s="75">
        <f t="shared" ref="BD14:BO14" si="34">+BC14</f>
        <v>233972</v>
      </c>
      <c r="BE14" s="75">
        <f t="shared" si="34"/>
        <v>233972</v>
      </c>
      <c r="BF14" s="75">
        <f t="shared" si="34"/>
        <v>233972</v>
      </c>
      <c r="BG14" s="75">
        <f t="shared" si="34"/>
        <v>233972</v>
      </c>
      <c r="BH14" s="75">
        <f t="shared" si="34"/>
        <v>233972</v>
      </c>
      <c r="BI14" s="75">
        <f t="shared" si="34"/>
        <v>233972</v>
      </c>
      <c r="BJ14" s="75">
        <f t="shared" si="34"/>
        <v>233972</v>
      </c>
      <c r="BK14" s="75">
        <f t="shared" si="34"/>
        <v>233972</v>
      </c>
      <c r="BL14" s="75">
        <f t="shared" si="34"/>
        <v>233972</v>
      </c>
      <c r="BM14" s="75">
        <f t="shared" si="34"/>
        <v>233972</v>
      </c>
      <c r="BN14" s="75">
        <f t="shared" si="34"/>
        <v>233972</v>
      </c>
      <c r="BO14" s="82">
        <f t="shared" si="34"/>
        <v>233972</v>
      </c>
    </row>
    <row r="15" spans="1:67" x14ac:dyDescent="0.25">
      <c r="A15" s="399"/>
      <c r="B15" s="83" t="s">
        <v>255</v>
      </c>
      <c r="C15" s="102">
        <v>150000</v>
      </c>
      <c r="D15" s="74">
        <f t="shared" ref="D15:O15" si="35">+C15</f>
        <v>150000</v>
      </c>
      <c r="E15" s="74">
        <f t="shared" si="35"/>
        <v>150000</v>
      </c>
      <c r="F15" s="74">
        <f t="shared" si="35"/>
        <v>150000</v>
      </c>
      <c r="G15" s="74">
        <f t="shared" si="35"/>
        <v>150000</v>
      </c>
      <c r="H15" s="74">
        <f t="shared" si="35"/>
        <v>150000</v>
      </c>
      <c r="I15" s="74">
        <f t="shared" si="35"/>
        <v>150000</v>
      </c>
      <c r="J15" s="74">
        <f t="shared" si="35"/>
        <v>150000</v>
      </c>
      <c r="K15" s="74">
        <f t="shared" si="35"/>
        <v>150000</v>
      </c>
      <c r="L15" s="74">
        <f t="shared" si="35"/>
        <v>150000</v>
      </c>
      <c r="M15" s="74">
        <f t="shared" si="35"/>
        <v>150000</v>
      </c>
      <c r="N15" s="74">
        <f t="shared" si="35"/>
        <v>150000</v>
      </c>
      <c r="O15" s="75">
        <f t="shared" si="35"/>
        <v>150000</v>
      </c>
      <c r="P15" s="75">
        <f>ROUND(+N15*(1+N$11),0)</f>
        <v>156000</v>
      </c>
      <c r="Q15" s="75">
        <f t="shared" ref="Q15:AB15" si="36">+P15</f>
        <v>156000</v>
      </c>
      <c r="R15" s="75">
        <f t="shared" si="36"/>
        <v>156000</v>
      </c>
      <c r="S15" s="75">
        <f t="shared" si="36"/>
        <v>156000</v>
      </c>
      <c r="T15" s="75">
        <f t="shared" si="36"/>
        <v>156000</v>
      </c>
      <c r="U15" s="75">
        <f t="shared" si="36"/>
        <v>156000</v>
      </c>
      <c r="V15" s="75">
        <f t="shared" si="36"/>
        <v>156000</v>
      </c>
      <c r="W15" s="75">
        <f t="shared" si="36"/>
        <v>156000</v>
      </c>
      <c r="X15" s="75">
        <f t="shared" si="36"/>
        <v>156000</v>
      </c>
      <c r="Y15" s="75">
        <f t="shared" si="36"/>
        <v>156000</v>
      </c>
      <c r="Z15" s="75">
        <f t="shared" si="36"/>
        <v>156000</v>
      </c>
      <c r="AA15" s="75">
        <f t="shared" si="36"/>
        <v>156000</v>
      </c>
      <c r="AB15" s="75">
        <f t="shared" si="36"/>
        <v>156000</v>
      </c>
      <c r="AC15" s="75">
        <f>ROUND(+AA15*(1+AA$11),0)</f>
        <v>162240</v>
      </c>
      <c r="AD15" s="75">
        <f t="shared" ref="AD15:AO15" si="37">+AC15</f>
        <v>162240</v>
      </c>
      <c r="AE15" s="75">
        <f t="shared" si="37"/>
        <v>162240</v>
      </c>
      <c r="AF15" s="75">
        <f t="shared" si="37"/>
        <v>162240</v>
      </c>
      <c r="AG15" s="75">
        <f t="shared" si="37"/>
        <v>162240</v>
      </c>
      <c r="AH15" s="75">
        <f t="shared" si="37"/>
        <v>162240</v>
      </c>
      <c r="AI15" s="75">
        <f t="shared" si="37"/>
        <v>162240</v>
      </c>
      <c r="AJ15" s="75">
        <f t="shared" si="37"/>
        <v>162240</v>
      </c>
      <c r="AK15" s="75">
        <f t="shared" si="37"/>
        <v>162240</v>
      </c>
      <c r="AL15" s="75">
        <f t="shared" si="37"/>
        <v>162240</v>
      </c>
      <c r="AM15" s="75">
        <f t="shared" si="37"/>
        <v>162240</v>
      </c>
      <c r="AN15" s="75">
        <f t="shared" si="37"/>
        <v>162240</v>
      </c>
      <c r="AO15" s="75">
        <f t="shared" si="37"/>
        <v>162240</v>
      </c>
      <c r="AP15" s="254">
        <f>ROUND(+AN15*(1+AN$11),0)</f>
        <v>168730</v>
      </c>
      <c r="AQ15" s="75">
        <f t="shared" ref="AQ15:BB15" si="38">+AP15</f>
        <v>168730</v>
      </c>
      <c r="AR15" s="75">
        <f t="shared" si="38"/>
        <v>168730</v>
      </c>
      <c r="AS15" s="75">
        <f t="shared" si="38"/>
        <v>168730</v>
      </c>
      <c r="AT15" s="75">
        <f t="shared" si="38"/>
        <v>168730</v>
      </c>
      <c r="AU15" s="75">
        <f t="shared" si="38"/>
        <v>168730</v>
      </c>
      <c r="AV15" s="75">
        <f t="shared" si="38"/>
        <v>168730</v>
      </c>
      <c r="AW15" s="75">
        <f t="shared" si="38"/>
        <v>168730</v>
      </c>
      <c r="AX15" s="75">
        <f t="shared" si="38"/>
        <v>168730</v>
      </c>
      <c r="AY15" s="75">
        <f t="shared" si="38"/>
        <v>168730</v>
      </c>
      <c r="AZ15" s="75">
        <f t="shared" si="38"/>
        <v>168730</v>
      </c>
      <c r="BA15" s="75">
        <f t="shared" si="38"/>
        <v>168730</v>
      </c>
      <c r="BB15" s="75">
        <f t="shared" si="38"/>
        <v>168730</v>
      </c>
      <c r="BC15" s="254">
        <f>ROUND(+BA15*(1+BA$11),0)</f>
        <v>175479</v>
      </c>
      <c r="BD15" s="75">
        <f t="shared" ref="BD15:BO15" si="39">+BC15</f>
        <v>175479</v>
      </c>
      <c r="BE15" s="75">
        <f t="shared" si="39"/>
        <v>175479</v>
      </c>
      <c r="BF15" s="75">
        <f t="shared" si="39"/>
        <v>175479</v>
      </c>
      <c r="BG15" s="75">
        <f t="shared" si="39"/>
        <v>175479</v>
      </c>
      <c r="BH15" s="75">
        <f t="shared" si="39"/>
        <v>175479</v>
      </c>
      <c r="BI15" s="75">
        <f t="shared" si="39"/>
        <v>175479</v>
      </c>
      <c r="BJ15" s="75">
        <f t="shared" si="39"/>
        <v>175479</v>
      </c>
      <c r="BK15" s="75">
        <f t="shared" si="39"/>
        <v>175479</v>
      </c>
      <c r="BL15" s="75">
        <f t="shared" si="39"/>
        <v>175479</v>
      </c>
      <c r="BM15" s="75">
        <f t="shared" si="39"/>
        <v>175479</v>
      </c>
      <c r="BN15" s="75">
        <f t="shared" si="39"/>
        <v>175479</v>
      </c>
      <c r="BO15" s="82">
        <f t="shared" si="39"/>
        <v>175479</v>
      </c>
    </row>
    <row r="16" spans="1:67" ht="15.75" thickBot="1" x14ac:dyDescent="0.3">
      <c r="A16" s="400"/>
      <c r="B16" s="169" t="s">
        <v>265</v>
      </c>
      <c r="C16" s="109">
        <f>SUM(C13:C15)</f>
        <v>650000</v>
      </c>
      <c r="D16" s="109">
        <f t="shared" ref="D16:P16" si="40">SUM(D13:D15)</f>
        <v>650000</v>
      </c>
      <c r="E16" s="109">
        <f t="shared" si="40"/>
        <v>650000</v>
      </c>
      <c r="F16" s="109">
        <f t="shared" si="40"/>
        <v>650000</v>
      </c>
      <c r="G16" s="109">
        <f t="shared" si="40"/>
        <v>650000</v>
      </c>
      <c r="H16" s="109">
        <f t="shared" si="40"/>
        <v>650000</v>
      </c>
      <c r="I16" s="109">
        <f t="shared" si="40"/>
        <v>650000</v>
      </c>
      <c r="J16" s="109">
        <f t="shared" si="40"/>
        <v>650000</v>
      </c>
      <c r="K16" s="109">
        <f t="shared" si="40"/>
        <v>650000</v>
      </c>
      <c r="L16" s="109">
        <f t="shared" si="40"/>
        <v>650000</v>
      </c>
      <c r="M16" s="109">
        <f t="shared" si="40"/>
        <v>650000</v>
      </c>
      <c r="N16" s="109">
        <f t="shared" si="40"/>
        <v>650000</v>
      </c>
      <c r="O16" s="109">
        <f>SUM(C16:N16)</f>
        <v>7800000</v>
      </c>
      <c r="P16" s="109">
        <f t="shared" si="40"/>
        <v>676000</v>
      </c>
      <c r="Q16" s="109">
        <f t="shared" ref="Q16:AA16" si="41">SUM(Q13:Q15)</f>
        <v>676000</v>
      </c>
      <c r="R16" s="109">
        <f t="shared" si="41"/>
        <v>676000</v>
      </c>
      <c r="S16" s="109">
        <f t="shared" si="41"/>
        <v>676000</v>
      </c>
      <c r="T16" s="109">
        <f t="shared" si="41"/>
        <v>676000</v>
      </c>
      <c r="U16" s="109">
        <f t="shared" si="41"/>
        <v>676000</v>
      </c>
      <c r="V16" s="109">
        <f t="shared" si="41"/>
        <v>676000</v>
      </c>
      <c r="W16" s="109">
        <f t="shared" si="41"/>
        <v>676000</v>
      </c>
      <c r="X16" s="109">
        <f t="shared" si="41"/>
        <v>676000</v>
      </c>
      <c r="Y16" s="109">
        <f t="shared" si="41"/>
        <v>676000</v>
      </c>
      <c r="Z16" s="109">
        <f t="shared" si="41"/>
        <v>676000</v>
      </c>
      <c r="AA16" s="109">
        <f t="shared" si="41"/>
        <v>676000</v>
      </c>
      <c r="AB16" s="109">
        <f>SUM(P16:AA16)</f>
        <v>8112000</v>
      </c>
      <c r="AC16" s="109">
        <f t="shared" ref="AC16:AN16" si="42">SUM(AC13:AC15)</f>
        <v>703040</v>
      </c>
      <c r="AD16" s="109">
        <f t="shared" si="42"/>
        <v>703040</v>
      </c>
      <c r="AE16" s="109">
        <f t="shared" si="42"/>
        <v>703040</v>
      </c>
      <c r="AF16" s="109">
        <f t="shared" si="42"/>
        <v>703040</v>
      </c>
      <c r="AG16" s="109">
        <f t="shared" si="42"/>
        <v>703040</v>
      </c>
      <c r="AH16" s="109">
        <f t="shared" si="42"/>
        <v>703040</v>
      </c>
      <c r="AI16" s="109">
        <f t="shared" si="42"/>
        <v>703040</v>
      </c>
      <c r="AJ16" s="109">
        <f t="shared" si="42"/>
        <v>703040</v>
      </c>
      <c r="AK16" s="109">
        <f t="shared" si="42"/>
        <v>703040</v>
      </c>
      <c r="AL16" s="109">
        <f t="shared" si="42"/>
        <v>703040</v>
      </c>
      <c r="AM16" s="109">
        <f t="shared" si="42"/>
        <v>703040</v>
      </c>
      <c r="AN16" s="109">
        <f t="shared" si="42"/>
        <v>703040</v>
      </c>
      <c r="AO16" s="109">
        <f>SUM(AC16:AN16)</f>
        <v>8436480</v>
      </c>
      <c r="AP16" s="250">
        <f t="shared" ref="AP16:BA16" si="43">SUM(AP13:AP15)</f>
        <v>731162</v>
      </c>
      <c r="AQ16" s="109">
        <f t="shared" si="43"/>
        <v>731162</v>
      </c>
      <c r="AR16" s="109">
        <f t="shared" si="43"/>
        <v>731162</v>
      </c>
      <c r="AS16" s="109">
        <f t="shared" si="43"/>
        <v>731162</v>
      </c>
      <c r="AT16" s="109">
        <f t="shared" si="43"/>
        <v>731162</v>
      </c>
      <c r="AU16" s="109">
        <f t="shared" si="43"/>
        <v>731162</v>
      </c>
      <c r="AV16" s="109">
        <f t="shared" si="43"/>
        <v>731162</v>
      </c>
      <c r="AW16" s="109">
        <f t="shared" si="43"/>
        <v>731162</v>
      </c>
      <c r="AX16" s="109">
        <f t="shared" si="43"/>
        <v>731162</v>
      </c>
      <c r="AY16" s="109">
        <f t="shared" si="43"/>
        <v>731162</v>
      </c>
      <c r="AZ16" s="109">
        <f t="shared" si="43"/>
        <v>731162</v>
      </c>
      <c r="BA16" s="109">
        <f t="shared" si="43"/>
        <v>731162</v>
      </c>
      <c r="BB16" s="109">
        <f>SUM(AP16:BA16)</f>
        <v>8773944</v>
      </c>
      <c r="BC16" s="250">
        <f t="shared" ref="BC16:BN16" si="44">SUM(BC13:BC15)</f>
        <v>760408</v>
      </c>
      <c r="BD16" s="109">
        <f t="shared" si="44"/>
        <v>760408</v>
      </c>
      <c r="BE16" s="109">
        <f t="shared" si="44"/>
        <v>760408</v>
      </c>
      <c r="BF16" s="109">
        <f t="shared" si="44"/>
        <v>760408</v>
      </c>
      <c r="BG16" s="109">
        <f t="shared" si="44"/>
        <v>760408</v>
      </c>
      <c r="BH16" s="109">
        <f t="shared" si="44"/>
        <v>760408</v>
      </c>
      <c r="BI16" s="109">
        <f t="shared" si="44"/>
        <v>760408</v>
      </c>
      <c r="BJ16" s="109">
        <f t="shared" si="44"/>
        <v>760408</v>
      </c>
      <c r="BK16" s="109">
        <f t="shared" si="44"/>
        <v>760408</v>
      </c>
      <c r="BL16" s="109">
        <f t="shared" si="44"/>
        <v>760408</v>
      </c>
      <c r="BM16" s="109">
        <f t="shared" si="44"/>
        <v>760408</v>
      </c>
      <c r="BN16" s="109">
        <f t="shared" si="44"/>
        <v>760408</v>
      </c>
      <c r="BO16" s="110">
        <f>SUM(BC16:BN16)</f>
        <v>9124896</v>
      </c>
    </row>
    <row r="17" spans="1:69" x14ac:dyDescent="0.25">
      <c r="A17" s="398" t="s">
        <v>256</v>
      </c>
      <c r="B17" s="166" t="s">
        <v>257</v>
      </c>
      <c r="C17" s="173">
        <v>150000</v>
      </c>
      <c r="D17" s="174">
        <f t="shared" ref="D17:O17" si="45">+C17</f>
        <v>150000</v>
      </c>
      <c r="E17" s="174">
        <f t="shared" si="45"/>
        <v>150000</v>
      </c>
      <c r="F17" s="174">
        <f t="shared" si="45"/>
        <v>150000</v>
      </c>
      <c r="G17" s="174">
        <f t="shared" si="45"/>
        <v>150000</v>
      </c>
      <c r="H17" s="174">
        <f t="shared" si="45"/>
        <v>150000</v>
      </c>
      <c r="I17" s="174">
        <f t="shared" si="45"/>
        <v>150000</v>
      </c>
      <c r="J17" s="174">
        <f t="shared" si="45"/>
        <v>150000</v>
      </c>
      <c r="K17" s="174">
        <f t="shared" si="45"/>
        <v>150000</v>
      </c>
      <c r="L17" s="174">
        <f t="shared" si="45"/>
        <v>150000</v>
      </c>
      <c r="M17" s="174">
        <f t="shared" si="45"/>
        <v>150000</v>
      </c>
      <c r="N17" s="174">
        <f t="shared" si="45"/>
        <v>150000</v>
      </c>
      <c r="O17" s="175">
        <f t="shared" si="45"/>
        <v>150000</v>
      </c>
      <c r="P17" s="175">
        <f>ROUND(+N17*(1+N$11),0)</f>
        <v>156000</v>
      </c>
      <c r="Q17" s="175">
        <f t="shared" ref="Q17:AB17" si="46">+P17</f>
        <v>156000</v>
      </c>
      <c r="R17" s="175">
        <f t="shared" si="46"/>
        <v>156000</v>
      </c>
      <c r="S17" s="175">
        <f t="shared" si="46"/>
        <v>156000</v>
      </c>
      <c r="T17" s="175">
        <f t="shared" si="46"/>
        <v>156000</v>
      </c>
      <c r="U17" s="175">
        <f t="shared" si="46"/>
        <v>156000</v>
      </c>
      <c r="V17" s="175">
        <f t="shared" si="46"/>
        <v>156000</v>
      </c>
      <c r="W17" s="175">
        <f t="shared" si="46"/>
        <v>156000</v>
      </c>
      <c r="X17" s="175">
        <f t="shared" si="46"/>
        <v>156000</v>
      </c>
      <c r="Y17" s="175">
        <f t="shared" si="46"/>
        <v>156000</v>
      </c>
      <c r="Z17" s="175">
        <f t="shared" si="46"/>
        <v>156000</v>
      </c>
      <c r="AA17" s="175">
        <f t="shared" si="46"/>
        <v>156000</v>
      </c>
      <c r="AB17" s="175">
        <f t="shared" si="46"/>
        <v>156000</v>
      </c>
      <c r="AC17" s="175">
        <f>ROUND(+AA17*(1+AA$11),0)</f>
        <v>162240</v>
      </c>
      <c r="AD17" s="175">
        <f t="shared" ref="AD17:AO17" si="47">+AC17</f>
        <v>162240</v>
      </c>
      <c r="AE17" s="175">
        <f t="shared" si="47"/>
        <v>162240</v>
      </c>
      <c r="AF17" s="175">
        <f t="shared" si="47"/>
        <v>162240</v>
      </c>
      <c r="AG17" s="175">
        <f t="shared" si="47"/>
        <v>162240</v>
      </c>
      <c r="AH17" s="175">
        <f t="shared" si="47"/>
        <v>162240</v>
      </c>
      <c r="AI17" s="175">
        <f t="shared" si="47"/>
        <v>162240</v>
      </c>
      <c r="AJ17" s="175">
        <f t="shared" si="47"/>
        <v>162240</v>
      </c>
      <c r="AK17" s="175">
        <f t="shared" si="47"/>
        <v>162240</v>
      </c>
      <c r="AL17" s="175">
        <f t="shared" si="47"/>
        <v>162240</v>
      </c>
      <c r="AM17" s="175">
        <f t="shared" si="47"/>
        <v>162240</v>
      </c>
      <c r="AN17" s="175">
        <f t="shared" si="47"/>
        <v>162240</v>
      </c>
      <c r="AO17" s="175">
        <f t="shared" si="47"/>
        <v>162240</v>
      </c>
      <c r="AP17" s="253">
        <f>ROUND(+AN17*(1+AN$11),0)</f>
        <v>168730</v>
      </c>
      <c r="AQ17" s="175">
        <f t="shared" ref="AQ17:BB17" si="48">+AP17</f>
        <v>168730</v>
      </c>
      <c r="AR17" s="175">
        <f t="shared" si="48"/>
        <v>168730</v>
      </c>
      <c r="AS17" s="175">
        <f t="shared" si="48"/>
        <v>168730</v>
      </c>
      <c r="AT17" s="175">
        <f t="shared" si="48"/>
        <v>168730</v>
      </c>
      <c r="AU17" s="175">
        <f t="shared" si="48"/>
        <v>168730</v>
      </c>
      <c r="AV17" s="175">
        <f t="shared" si="48"/>
        <v>168730</v>
      </c>
      <c r="AW17" s="175">
        <f t="shared" si="48"/>
        <v>168730</v>
      </c>
      <c r="AX17" s="175">
        <f t="shared" si="48"/>
        <v>168730</v>
      </c>
      <c r="AY17" s="175">
        <f t="shared" si="48"/>
        <v>168730</v>
      </c>
      <c r="AZ17" s="175">
        <f t="shared" si="48"/>
        <v>168730</v>
      </c>
      <c r="BA17" s="175">
        <f t="shared" si="48"/>
        <v>168730</v>
      </c>
      <c r="BB17" s="175">
        <f t="shared" si="48"/>
        <v>168730</v>
      </c>
      <c r="BC17" s="253">
        <f>ROUND(+BA17*(1+BA$11),0)</f>
        <v>175479</v>
      </c>
      <c r="BD17" s="175">
        <f t="shared" ref="BD17:BO17" si="49">+BC17</f>
        <v>175479</v>
      </c>
      <c r="BE17" s="175">
        <f t="shared" si="49"/>
        <v>175479</v>
      </c>
      <c r="BF17" s="175">
        <f t="shared" si="49"/>
        <v>175479</v>
      </c>
      <c r="BG17" s="175">
        <f t="shared" si="49"/>
        <v>175479</v>
      </c>
      <c r="BH17" s="175">
        <f t="shared" si="49"/>
        <v>175479</v>
      </c>
      <c r="BI17" s="175">
        <f t="shared" si="49"/>
        <v>175479</v>
      </c>
      <c r="BJ17" s="175">
        <f t="shared" si="49"/>
        <v>175479</v>
      </c>
      <c r="BK17" s="175">
        <f t="shared" si="49"/>
        <v>175479</v>
      </c>
      <c r="BL17" s="175">
        <f t="shared" si="49"/>
        <v>175479</v>
      </c>
      <c r="BM17" s="175">
        <f t="shared" si="49"/>
        <v>175479</v>
      </c>
      <c r="BN17" s="175">
        <f t="shared" si="49"/>
        <v>175479</v>
      </c>
      <c r="BO17" s="179">
        <f t="shared" si="49"/>
        <v>175479</v>
      </c>
    </row>
    <row r="18" spans="1:69" x14ac:dyDescent="0.25">
      <c r="A18" s="399"/>
      <c r="B18" s="83" t="s">
        <v>258</v>
      </c>
      <c r="C18" s="74">
        <f>+'VEHICULOS '!D6+2</f>
        <v>4</v>
      </c>
      <c r="D18" s="74">
        <f>+'VEHICULOS '!E6+2</f>
        <v>4</v>
      </c>
      <c r="E18" s="74">
        <f>+'VEHICULOS '!F6+2</f>
        <v>4</v>
      </c>
      <c r="F18" s="74">
        <f>+'VEHICULOS '!G6+2</f>
        <v>4</v>
      </c>
      <c r="G18" s="74">
        <f>+'VEHICULOS '!H6+2</f>
        <v>4</v>
      </c>
      <c r="H18" s="74">
        <f>+'VEHICULOS '!I6+2</f>
        <v>4</v>
      </c>
      <c r="I18" s="74">
        <f>+'VEHICULOS '!J6+2</f>
        <v>6</v>
      </c>
      <c r="J18" s="74">
        <f>+'VEHICULOS '!K6+2</f>
        <v>6</v>
      </c>
      <c r="K18" s="74">
        <f>+'VEHICULOS '!L6+2</f>
        <v>6</v>
      </c>
      <c r="L18" s="74">
        <f>+'VEHICULOS '!M6+2</f>
        <v>6</v>
      </c>
      <c r="M18" s="74">
        <f>+'VEHICULOS '!N6+2</f>
        <v>6</v>
      </c>
      <c r="N18" s="74">
        <f>+'VEHICULOS '!O6+2</f>
        <v>6</v>
      </c>
      <c r="O18" s="75">
        <f>+N18</f>
        <v>6</v>
      </c>
      <c r="P18" s="74">
        <f>+'VEHICULOS '!Q6+2</f>
        <v>6</v>
      </c>
      <c r="Q18" s="74">
        <f>+'VEHICULOS '!R6+2</f>
        <v>6</v>
      </c>
      <c r="R18" s="74">
        <f>+'VEHICULOS '!S6+2</f>
        <v>6</v>
      </c>
      <c r="S18" s="74">
        <f>+'VEHICULOS '!T6+2</f>
        <v>6</v>
      </c>
      <c r="T18" s="74">
        <f>+'VEHICULOS '!U6+2</f>
        <v>6</v>
      </c>
      <c r="U18" s="74">
        <f>+'VEHICULOS '!V6+2</f>
        <v>6</v>
      </c>
      <c r="V18" s="74">
        <f>+'VEHICULOS '!W6+2</f>
        <v>8</v>
      </c>
      <c r="W18" s="74">
        <f>+'VEHICULOS '!X6+2</f>
        <v>8</v>
      </c>
      <c r="X18" s="74">
        <f>+'VEHICULOS '!Y6+2</f>
        <v>8</v>
      </c>
      <c r="Y18" s="74">
        <f>+'VEHICULOS '!Z6+2</f>
        <v>8</v>
      </c>
      <c r="Z18" s="74">
        <f>+'VEHICULOS '!AA6+2</f>
        <v>8</v>
      </c>
      <c r="AA18" s="74">
        <f>+'VEHICULOS '!AB6+2</f>
        <v>8</v>
      </c>
      <c r="AB18" s="75">
        <f>+AA18</f>
        <v>8</v>
      </c>
      <c r="AC18" s="74">
        <f>+'VEHICULOS '!AD6+2</f>
        <v>8</v>
      </c>
      <c r="AD18" s="74">
        <f>+'VEHICULOS '!AE6+2</f>
        <v>8</v>
      </c>
      <c r="AE18" s="74">
        <f>+'VEHICULOS '!AF6+2</f>
        <v>8</v>
      </c>
      <c r="AF18" s="74">
        <f>+'VEHICULOS '!AG6+2</f>
        <v>8</v>
      </c>
      <c r="AG18" s="74">
        <f>+'VEHICULOS '!AH6+2</f>
        <v>8</v>
      </c>
      <c r="AH18" s="74">
        <f>+'VEHICULOS '!AI6+2</f>
        <v>8</v>
      </c>
      <c r="AI18" s="74">
        <f>+'VEHICULOS '!AJ6+2</f>
        <v>8</v>
      </c>
      <c r="AJ18" s="74">
        <f>+'VEHICULOS '!AK6+2</f>
        <v>8</v>
      </c>
      <c r="AK18" s="74">
        <f>+'VEHICULOS '!AL6+2</f>
        <v>8</v>
      </c>
      <c r="AL18" s="74">
        <f>+'VEHICULOS '!AM6+2</f>
        <v>8</v>
      </c>
      <c r="AM18" s="74">
        <f>+'VEHICULOS '!AN6+2</f>
        <v>8</v>
      </c>
      <c r="AN18" s="74">
        <f>+'VEHICULOS '!AO6+2</f>
        <v>8</v>
      </c>
      <c r="AO18" s="75">
        <f>+AN18</f>
        <v>8</v>
      </c>
      <c r="AP18" s="255">
        <f>+'VEHICULOS '!AQ6+2</f>
        <v>8</v>
      </c>
      <c r="AQ18" s="74">
        <f>+'VEHICULOS '!AR6+2</f>
        <v>8</v>
      </c>
      <c r="AR18" s="74">
        <f>+'VEHICULOS '!AS6+2</f>
        <v>8</v>
      </c>
      <c r="AS18" s="74">
        <f>+'VEHICULOS '!AT6+2</f>
        <v>8</v>
      </c>
      <c r="AT18" s="74">
        <f>+'VEHICULOS '!AU6+2</f>
        <v>8</v>
      </c>
      <c r="AU18" s="74">
        <f>+'VEHICULOS '!AV6+2</f>
        <v>8</v>
      </c>
      <c r="AV18" s="74">
        <f>+'VEHICULOS '!AW6+2</f>
        <v>8</v>
      </c>
      <c r="AW18" s="74">
        <f>+'VEHICULOS '!AX6+2</f>
        <v>8</v>
      </c>
      <c r="AX18" s="74">
        <f>+'VEHICULOS '!AY6+2</f>
        <v>8</v>
      </c>
      <c r="AY18" s="74">
        <f>+'VEHICULOS '!AZ6+2</f>
        <v>8</v>
      </c>
      <c r="AZ18" s="74">
        <f>+'VEHICULOS '!BA6+2</f>
        <v>8</v>
      </c>
      <c r="BA18" s="74">
        <f>+'VEHICULOS '!BB6+2</f>
        <v>8</v>
      </c>
      <c r="BB18" s="75">
        <f>+BA18</f>
        <v>8</v>
      </c>
      <c r="BC18" s="255">
        <f>+'VEHICULOS '!BD6+2</f>
        <v>8</v>
      </c>
      <c r="BD18" s="74">
        <f>+'VEHICULOS '!BE6+2</f>
        <v>8</v>
      </c>
      <c r="BE18" s="74">
        <f>+'VEHICULOS '!BF6+2</f>
        <v>8</v>
      </c>
      <c r="BF18" s="74">
        <f>+'VEHICULOS '!BG6+2</f>
        <v>8</v>
      </c>
      <c r="BG18" s="74">
        <f>+'VEHICULOS '!BH6+2</f>
        <v>8</v>
      </c>
      <c r="BH18" s="74">
        <f>+'VEHICULOS '!BI6+2</f>
        <v>8</v>
      </c>
      <c r="BI18" s="74">
        <f>+'VEHICULOS '!BJ6+2</f>
        <v>8</v>
      </c>
      <c r="BJ18" s="74">
        <f>+'VEHICULOS '!BK6+2</f>
        <v>8</v>
      </c>
      <c r="BK18" s="74">
        <f>+'VEHICULOS '!BL6+2</f>
        <v>8</v>
      </c>
      <c r="BL18" s="74">
        <f>+'VEHICULOS '!BM6+2</f>
        <v>8</v>
      </c>
      <c r="BM18" s="74">
        <f>+'VEHICULOS '!BN6+2</f>
        <v>8</v>
      </c>
      <c r="BN18" s="74">
        <f>+'VEHICULOS '!BO6+2</f>
        <v>8</v>
      </c>
      <c r="BO18" s="82">
        <f>+BN18</f>
        <v>8</v>
      </c>
    </row>
    <row r="19" spans="1:69" ht="15.75" thickBot="1" x14ac:dyDescent="0.3">
      <c r="A19" s="400"/>
      <c r="B19" s="169" t="s">
        <v>264</v>
      </c>
      <c r="C19" s="109">
        <f>+C17*C18</f>
        <v>600000</v>
      </c>
      <c r="D19" s="109">
        <f t="shared" ref="D19:P19" si="50">+D17*D18</f>
        <v>600000</v>
      </c>
      <c r="E19" s="109">
        <f t="shared" si="50"/>
        <v>600000</v>
      </c>
      <c r="F19" s="109">
        <f t="shared" si="50"/>
        <v>600000</v>
      </c>
      <c r="G19" s="109">
        <f t="shared" si="50"/>
        <v>600000</v>
      </c>
      <c r="H19" s="109">
        <f t="shared" si="50"/>
        <v>600000</v>
      </c>
      <c r="I19" s="109">
        <f t="shared" si="50"/>
        <v>900000</v>
      </c>
      <c r="J19" s="109">
        <f t="shared" si="50"/>
        <v>900000</v>
      </c>
      <c r="K19" s="109">
        <f t="shared" si="50"/>
        <v>900000</v>
      </c>
      <c r="L19" s="109">
        <f t="shared" si="50"/>
        <v>900000</v>
      </c>
      <c r="M19" s="109">
        <f t="shared" si="50"/>
        <v>900000</v>
      </c>
      <c r="N19" s="109">
        <f t="shared" si="50"/>
        <v>900000</v>
      </c>
      <c r="O19" s="109">
        <f>SUM(C19:N19)</f>
        <v>9000000</v>
      </c>
      <c r="P19" s="109">
        <f t="shared" si="50"/>
        <v>936000</v>
      </c>
      <c r="Q19" s="109">
        <f t="shared" ref="Q19:AA19" si="51">+Q17*Q18</f>
        <v>936000</v>
      </c>
      <c r="R19" s="109">
        <f t="shared" si="51"/>
        <v>936000</v>
      </c>
      <c r="S19" s="109">
        <f t="shared" si="51"/>
        <v>936000</v>
      </c>
      <c r="T19" s="109">
        <f t="shared" si="51"/>
        <v>936000</v>
      </c>
      <c r="U19" s="109">
        <f t="shared" si="51"/>
        <v>936000</v>
      </c>
      <c r="V19" s="109">
        <f t="shared" si="51"/>
        <v>1248000</v>
      </c>
      <c r="W19" s="109">
        <f t="shared" si="51"/>
        <v>1248000</v>
      </c>
      <c r="X19" s="109">
        <f t="shared" si="51"/>
        <v>1248000</v>
      </c>
      <c r="Y19" s="109">
        <f t="shared" si="51"/>
        <v>1248000</v>
      </c>
      <c r="Z19" s="109">
        <f t="shared" si="51"/>
        <v>1248000</v>
      </c>
      <c r="AA19" s="109">
        <f t="shared" si="51"/>
        <v>1248000</v>
      </c>
      <c r="AB19" s="109">
        <f>SUM(P19:AA19)</f>
        <v>13104000</v>
      </c>
      <c r="AC19" s="109">
        <f t="shared" ref="AC19:AN19" si="52">+AC17*AC18</f>
        <v>1297920</v>
      </c>
      <c r="AD19" s="109">
        <f t="shared" si="52"/>
        <v>1297920</v>
      </c>
      <c r="AE19" s="109">
        <f t="shared" si="52"/>
        <v>1297920</v>
      </c>
      <c r="AF19" s="109">
        <f t="shared" si="52"/>
        <v>1297920</v>
      </c>
      <c r="AG19" s="109">
        <f t="shared" si="52"/>
        <v>1297920</v>
      </c>
      <c r="AH19" s="109">
        <f t="shared" si="52"/>
        <v>1297920</v>
      </c>
      <c r="AI19" s="109">
        <f t="shared" si="52"/>
        <v>1297920</v>
      </c>
      <c r="AJ19" s="109">
        <f t="shared" si="52"/>
        <v>1297920</v>
      </c>
      <c r="AK19" s="109">
        <f t="shared" si="52"/>
        <v>1297920</v>
      </c>
      <c r="AL19" s="109">
        <f t="shared" si="52"/>
        <v>1297920</v>
      </c>
      <c r="AM19" s="109">
        <f t="shared" si="52"/>
        <v>1297920</v>
      </c>
      <c r="AN19" s="109">
        <f t="shared" si="52"/>
        <v>1297920</v>
      </c>
      <c r="AO19" s="109">
        <f>SUM(AC19:AN19)</f>
        <v>15575040</v>
      </c>
      <c r="AP19" s="250">
        <f t="shared" ref="AP19:BA19" si="53">+AP17*AP18</f>
        <v>1349840</v>
      </c>
      <c r="AQ19" s="109">
        <f t="shared" si="53"/>
        <v>1349840</v>
      </c>
      <c r="AR19" s="109">
        <f t="shared" si="53"/>
        <v>1349840</v>
      </c>
      <c r="AS19" s="109">
        <f t="shared" si="53"/>
        <v>1349840</v>
      </c>
      <c r="AT19" s="109">
        <f t="shared" si="53"/>
        <v>1349840</v>
      </c>
      <c r="AU19" s="109">
        <f t="shared" si="53"/>
        <v>1349840</v>
      </c>
      <c r="AV19" s="109">
        <f t="shared" si="53"/>
        <v>1349840</v>
      </c>
      <c r="AW19" s="109">
        <f t="shared" si="53"/>
        <v>1349840</v>
      </c>
      <c r="AX19" s="109">
        <f t="shared" si="53"/>
        <v>1349840</v>
      </c>
      <c r="AY19" s="109">
        <f t="shared" si="53"/>
        <v>1349840</v>
      </c>
      <c r="AZ19" s="109">
        <f t="shared" si="53"/>
        <v>1349840</v>
      </c>
      <c r="BA19" s="109">
        <f t="shared" si="53"/>
        <v>1349840</v>
      </c>
      <c r="BB19" s="109">
        <f>SUM(AP19:BA19)</f>
        <v>16198080</v>
      </c>
      <c r="BC19" s="250">
        <f t="shared" ref="BC19:BN19" si="54">+BC17*BC18</f>
        <v>1403832</v>
      </c>
      <c r="BD19" s="109">
        <f t="shared" si="54"/>
        <v>1403832</v>
      </c>
      <c r="BE19" s="109">
        <f t="shared" si="54"/>
        <v>1403832</v>
      </c>
      <c r="BF19" s="109">
        <f t="shared" si="54"/>
        <v>1403832</v>
      </c>
      <c r="BG19" s="109">
        <f t="shared" si="54"/>
        <v>1403832</v>
      </c>
      <c r="BH19" s="109">
        <f t="shared" si="54"/>
        <v>1403832</v>
      </c>
      <c r="BI19" s="109">
        <f t="shared" si="54"/>
        <v>1403832</v>
      </c>
      <c r="BJ19" s="109">
        <f t="shared" si="54"/>
        <v>1403832</v>
      </c>
      <c r="BK19" s="109">
        <f t="shared" si="54"/>
        <v>1403832</v>
      </c>
      <c r="BL19" s="109">
        <f t="shared" si="54"/>
        <v>1403832</v>
      </c>
      <c r="BM19" s="109">
        <f t="shared" si="54"/>
        <v>1403832</v>
      </c>
      <c r="BN19" s="109">
        <f t="shared" si="54"/>
        <v>1403832</v>
      </c>
      <c r="BO19" s="110">
        <f>SUM(BC19:BN19)</f>
        <v>16845984</v>
      </c>
    </row>
    <row r="20" spans="1:69" x14ac:dyDescent="0.25">
      <c r="A20" s="398" t="s">
        <v>262</v>
      </c>
      <c r="B20" s="166" t="s">
        <v>260</v>
      </c>
      <c r="C20" s="173">
        <v>500000</v>
      </c>
      <c r="D20" s="174">
        <f t="shared" ref="D20:O20" si="55">+C20</f>
        <v>500000</v>
      </c>
      <c r="E20" s="174">
        <f t="shared" si="55"/>
        <v>500000</v>
      </c>
      <c r="F20" s="174">
        <f t="shared" si="55"/>
        <v>500000</v>
      </c>
      <c r="G20" s="174">
        <f t="shared" si="55"/>
        <v>500000</v>
      </c>
      <c r="H20" s="174">
        <f t="shared" si="55"/>
        <v>500000</v>
      </c>
      <c r="I20" s="174">
        <f t="shared" si="55"/>
        <v>500000</v>
      </c>
      <c r="J20" s="174">
        <f t="shared" si="55"/>
        <v>500000</v>
      </c>
      <c r="K20" s="174">
        <f t="shared" si="55"/>
        <v>500000</v>
      </c>
      <c r="L20" s="174">
        <f t="shared" si="55"/>
        <v>500000</v>
      </c>
      <c r="M20" s="174">
        <f t="shared" si="55"/>
        <v>500000</v>
      </c>
      <c r="N20" s="174">
        <f t="shared" si="55"/>
        <v>500000</v>
      </c>
      <c r="O20" s="175">
        <f t="shared" si="55"/>
        <v>500000</v>
      </c>
      <c r="P20" s="175">
        <f>ROUND(+N20*(1+N$11),0)</f>
        <v>520000</v>
      </c>
      <c r="Q20" s="175">
        <f t="shared" ref="Q20:AB20" si="56">+P20</f>
        <v>520000</v>
      </c>
      <c r="R20" s="175">
        <f t="shared" si="56"/>
        <v>520000</v>
      </c>
      <c r="S20" s="175">
        <f t="shared" si="56"/>
        <v>520000</v>
      </c>
      <c r="T20" s="175">
        <f t="shared" si="56"/>
        <v>520000</v>
      </c>
      <c r="U20" s="175">
        <f t="shared" si="56"/>
        <v>520000</v>
      </c>
      <c r="V20" s="175">
        <f t="shared" si="56"/>
        <v>520000</v>
      </c>
      <c r="W20" s="175">
        <f t="shared" si="56"/>
        <v>520000</v>
      </c>
      <c r="X20" s="175">
        <f t="shared" si="56"/>
        <v>520000</v>
      </c>
      <c r="Y20" s="175">
        <f t="shared" si="56"/>
        <v>520000</v>
      </c>
      <c r="Z20" s="175">
        <f t="shared" si="56"/>
        <v>520000</v>
      </c>
      <c r="AA20" s="175">
        <f t="shared" si="56"/>
        <v>520000</v>
      </c>
      <c r="AB20" s="175">
        <f t="shared" si="56"/>
        <v>520000</v>
      </c>
      <c r="AC20" s="175">
        <f>ROUND(+AA20*(1+AA$11),0)</f>
        <v>540800</v>
      </c>
      <c r="AD20" s="175">
        <f t="shared" ref="AD20:AO20" si="57">+AC20</f>
        <v>540800</v>
      </c>
      <c r="AE20" s="175">
        <f t="shared" si="57"/>
        <v>540800</v>
      </c>
      <c r="AF20" s="175">
        <f t="shared" si="57"/>
        <v>540800</v>
      </c>
      <c r="AG20" s="175">
        <f t="shared" si="57"/>
        <v>540800</v>
      </c>
      <c r="AH20" s="175">
        <f t="shared" si="57"/>
        <v>540800</v>
      </c>
      <c r="AI20" s="175">
        <f t="shared" si="57"/>
        <v>540800</v>
      </c>
      <c r="AJ20" s="175">
        <f t="shared" si="57"/>
        <v>540800</v>
      </c>
      <c r="AK20" s="175">
        <f t="shared" si="57"/>
        <v>540800</v>
      </c>
      <c r="AL20" s="175">
        <f t="shared" si="57"/>
        <v>540800</v>
      </c>
      <c r="AM20" s="175">
        <f t="shared" si="57"/>
        <v>540800</v>
      </c>
      <c r="AN20" s="175">
        <f t="shared" si="57"/>
        <v>540800</v>
      </c>
      <c r="AO20" s="175">
        <f t="shared" si="57"/>
        <v>540800</v>
      </c>
      <c r="AP20" s="253">
        <f>ROUND(+AN20*(1+AN$11),0)</f>
        <v>562432</v>
      </c>
      <c r="AQ20" s="175">
        <f t="shared" ref="AQ20:BB20" si="58">+AP20</f>
        <v>562432</v>
      </c>
      <c r="AR20" s="175">
        <f t="shared" si="58"/>
        <v>562432</v>
      </c>
      <c r="AS20" s="175">
        <f t="shared" si="58"/>
        <v>562432</v>
      </c>
      <c r="AT20" s="175">
        <f t="shared" si="58"/>
        <v>562432</v>
      </c>
      <c r="AU20" s="175">
        <f t="shared" si="58"/>
        <v>562432</v>
      </c>
      <c r="AV20" s="175">
        <f t="shared" si="58"/>
        <v>562432</v>
      </c>
      <c r="AW20" s="175">
        <f t="shared" si="58"/>
        <v>562432</v>
      </c>
      <c r="AX20" s="175">
        <f t="shared" si="58"/>
        <v>562432</v>
      </c>
      <c r="AY20" s="175">
        <f t="shared" si="58"/>
        <v>562432</v>
      </c>
      <c r="AZ20" s="175">
        <f t="shared" si="58"/>
        <v>562432</v>
      </c>
      <c r="BA20" s="175">
        <f t="shared" si="58"/>
        <v>562432</v>
      </c>
      <c r="BB20" s="175">
        <f t="shared" si="58"/>
        <v>562432</v>
      </c>
      <c r="BC20" s="253">
        <f>ROUND(+BA20*(1+BA$11),0)</f>
        <v>584929</v>
      </c>
      <c r="BD20" s="175">
        <f t="shared" ref="BD20:BO20" si="59">+BC20</f>
        <v>584929</v>
      </c>
      <c r="BE20" s="175">
        <f t="shared" si="59"/>
        <v>584929</v>
      </c>
      <c r="BF20" s="175">
        <f t="shared" si="59"/>
        <v>584929</v>
      </c>
      <c r="BG20" s="175">
        <f t="shared" si="59"/>
        <v>584929</v>
      </c>
      <c r="BH20" s="175">
        <f t="shared" si="59"/>
        <v>584929</v>
      </c>
      <c r="BI20" s="175">
        <f t="shared" si="59"/>
        <v>584929</v>
      </c>
      <c r="BJ20" s="175">
        <f t="shared" si="59"/>
        <v>584929</v>
      </c>
      <c r="BK20" s="175">
        <f t="shared" si="59"/>
        <v>584929</v>
      </c>
      <c r="BL20" s="175">
        <f t="shared" si="59"/>
        <v>584929</v>
      </c>
      <c r="BM20" s="175">
        <f t="shared" si="59"/>
        <v>584929</v>
      </c>
      <c r="BN20" s="175">
        <f t="shared" si="59"/>
        <v>584929</v>
      </c>
      <c r="BO20" s="179">
        <f t="shared" si="59"/>
        <v>584929</v>
      </c>
    </row>
    <row r="21" spans="1:69" x14ac:dyDescent="0.25">
      <c r="A21" s="399"/>
      <c r="B21" s="83" t="s">
        <v>272</v>
      </c>
      <c r="C21" s="102">
        <v>400000</v>
      </c>
      <c r="D21" s="74">
        <f t="shared" ref="D21:O21" si="60">+C21</f>
        <v>400000</v>
      </c>
      <c r="E21" s="74">
        <f t="shared" si="60"/>
        <v>400000</v>
      </c>
      <c r="F21" s="74">
        <f t="shared" si="60"/>
        <v>400000</v>
      </c>
      <c r="G21" s="74">
        <f t="shared" si="60"/>
        <v>400000</v>
      </c>
      <c r="H21" s="74">
        <f t="shared" si="60"/>
        <v>400000</v>
      </c>
      <c r="I21" s="74">
        <f t="shared" si="60"/>
        <v>400000</v>
      </c>
      <c r="J21" s="74">
        <f t="shared" si="60"/>
        <v>400000</v>
      </c>
      <c r="K21" s="74">
        <f t="shared" si="60"/>
        <v>400000</v>
      </c>
      <c r="L21" s="74">
        <f t="shared" si="60"/>
        <v>400000</v>
      </c>
      <c r="M21" s="74">
        <f t="shared" si="60"/>
        <v>400000</v>
      </c>
      <c r="N21" s="74">
        <f t="shared" si="60"/>
        <v>400000</v>
      </c>
      <c r="O21" s="75">
        <f t="shared" si="60"/>
        <v>400000</v>
      </c>
      <c r="P21" s="75">
        <f>ROUND(+N21*(1+N$11),0)</f>
        <v>416000</v>
      </c>
      <c r="Q21" s="75">
        <f t="shared" ref="Q21:AB21" si="61">+P21</f>
        <v>416000</v>
      </c>
      <c r="R21" s="75">
        <f t="shared" si="61"/>
        <v>416000</v>
      </c>
      <c r="S21" s="75">
        <f t="shared" si="61"/>
        <v>416000</v>
      </c>
      <c r="T21" s="75">
        <f t="shared" si="61"/>
        <v>416000</v>
      </c>
      <c r="U21" s="75">
        <f t="shared" si="61"/>
        <v>416000</v>
      </c>
      <c r="V21" s="75">
        <f t="shared" si="61"/>
        <v>416000</v>
      </c>
      <c r="W21" s="75">
        <f t="shared" si="61"/>
        <v>416000</v>
      </c>
      <c r="X21" s="75">
        <f t="shared" si="61"/>
        <v>416000</v>
      </c>
      <c r="Y21" s="75">
        <f t="shared" si="61"/>
        <v>416000</v>
      </c>
      <c r="Z21" s="75">
        <f t="shared" si="61"/>
        <v>416000</v>
      </c>
      <c r="AA21" s="75">
        <f t="shared" si="61"/>
        <v>416000</v>
      </c>
      <c r="AB21" s="75">
        <f t="shared" si="61"/>
        <v>416000</v>
      </c>
      <c r="AC21" s="75">
        <f>ROUND(+AA21*(1+AA$11),0)</f>
        <v>432640</v>
      </c>
      <c r="AD21" s="75">
        <f t="shared" ref="AD21:AO21" si="62">+AC21</f>
        <v>432640</v>
      </c>
      <c r="AE21" s="75">
        <f t="shared" si="62"/>
        <v>432640</v>
      </c>
      <c r="AF21" s="75">
        <f t="shared" si="62"/>
        <v>432640</v>
      </c>
      <c r="AG21" s="75">
        <f t="shared" si="62"/>
        <v>432640</v>
      </c>
      <c r="AH21" s="75">
        <f t="shared" si="62"/>
        <v>432640</v>
      </c>
      <c r="AI21" s="75">
        <f t="shared" si="62"/>
        <v>432640</v>
      </c>
      <c r="AJ21" s="75">
        <f t="shared" si="62"/>
        <v>432640</v>
      </c>
      <c r="AK21" s="75">
        <f t="shared" si="62"/>
        <v>432640</v>
      </c>
      <c r="AL21" s="75">
        <f t="shared" si="62"/>
        <v>432640</v>
      </c>
      <c r="AM21" s="75">
        <f t="shared" si="62"/>
        <v>432640</v>
      </c>
      <c r="AN21" s="75">
        <f t="shared" si="62"/>
        <v>432640</v>
      </c>
      <c r="AO21" s="75">
        <f t="shared" si="62"/>
        <v>432640</v>
      </c>
      <c r="AP21" s="254">
        <f>ROUND(+AN21*(1+AN$11),0)</f>
        <v>449946</v>
      </c>
      <c r="AQ21" s="75">
        <f t="shared" ref="AQ21:BB21" si="63">+AP21</f>
        <v>449946</v>
      </c>
      <c r="AR21" s="75">
        <f t="shared" si="63"/>
        <v>449946</v>
      </c>
      <c r="AS21" s="75">
        <f t="shared" si="63"/>
        <v>449946</v>
      </c>
      <c r="AT21" s="75">
        <f t="shared" si="63"/>
        <v>449946</v>
      </c>
      <c r="AU21" s="75">
        <f t="shared" si="63"/>
        <v>449946</v>
      </c>
      <c r="AV21" s="75">
        <f t="shared" si="63"/>
        <v>449946</v>
      </c>
      <c r="AW21" s="75">
        <f t="shared" si="63"/>
        <v>449946</v>
      </c>
      <c r="AX21" s="75">
        <f t="shared" si="63"/>
        <v>449946</v>
      </c>
      <c r="AY21" s="75">
        <f t="shared" si="63"/>
        <v>449946</v>
      </c>
      <c r="AZ21" s="75">
        <f t="shared" si="63"/>
        <v>449946</v>
      </c>
      <c r="BA21" s="75">
        <f t="shared" si="63"/>
        <v>449946</v>
      </c>
      <c r="BB21" s="75">
        <f t="shared" si="63"/>
        <v>449946</v>
      </c>
      <c r="BC21" s="254">
        <f>ROUND(+BA21*(1+BA$11),0)</f>
        <v>467944</v>
      </c>
      <c r="BD21" s="75">
        <f t="shared" ref="BD21:BO21" si="64">+BC21</f>
        <v>467944</v>
      </c>
      <c r="BE21" s="75">
        <f t="shared" si="64"/>
        <v>467944</v>
      </c>
      <c r="BF21" s="75">
        <f t="shared" si="64"/>
        <v>467944</v>
      </c>
      <c r="BG21" s="75">
        <f t="shared" si="64"/>
        <v>467944</v>
      </c>
      <c r="BH21" s="75">
        <f t="shared" si="64"/>
        <v>467944</v>
      </c>
      <c r="BI21" s="75">
        <f t="shared" si="64"/>
        <v>467944</v>
      </c>
      <c r="BJ21" s="75">
        <f t="shared" si="64"/>
        <v>467944</v>
      </c>
      <c r="BK21" s="75">
        <f t="shared" si="64"/>
        <v>467944</v>
      </c>
      <c r="BL21" s="75">
        <f t="shared" si="64"/>
        <v>467944</v>
      </c>
      <c r="BM21" s="75">
        <f t="shared" si="64"/>
        <v>467944</v>
      </c>
      <c r="BN21" s="75">
        <f t="shared" si="64"/>
        <v>467944</v>
      </c>
      <c r="BO21" s="82">
        <f t="shared" si="64"/>
        <v>467944</v>
      </c>
    </row>
    <row r="22" spans="1:69" x14ac:dyDescent="0.25">
      <c r="A22" s="399"/>
      <c r="B22" s="83" t="s">
        <v>261</v>
      </c>
      <c r="C22" s="102">
        <v>200000</v>
      </c>
      <c r="D22" s="74">
        <f t="shared" ref="D22:O22" si="65">+C22</f>
        <v>200000</v>
      </c>
      <c r="E22" s="74">
        <f t="shared" si="65"/>
        <v>200000</v>
      </c>
      <c r="F22" s="74">
        <f t="shared" si="65"/>
        <v>200000</v>
      </c>
      <c r="G22" s="74">
        <f t="shared" si="65"/>
        <v>200000</v>
      </c>
      <c r="H22" s="74">
        <f t="shared" si="65"/>
        <v>200000</v>
      </c>
      <c r="I22" s="74">
        <f t="shared" si="65"/>
        <v>200000</v>
      </c>
      <c r="J22" s="74">
        <f t="shared" si="65"/>
        <v>200000</v>
      </c>
      <c r="K22" s="74">
        <f t="shared" si="65"/>
        <v>200000</v>
      </c>
      <c r="L22" s="74">
        <f t="shared" si="65"/>
        <v>200000</v>
      </c>
      <c r="M22" s="74">
        <f t="shared" si="65"/>
        <v>200000</v>
      </c>
      <c r="N22" s="74">
        <f>+M22</f>
        <v>200000</v>
      </c>
      <c r="O22" s="75">
        <f t="shared" si="65"/>
        <v>200000</v>
      </c>
      <c r="P22" s="75">
        <f>ROUND(+N22*(1+N$11),0)</f>
        <v>208000</v>
      </c>
      <c r="Q22" s="75">
        <f t="shared" ref="Q22:AB22" si="66">+P22</f>
        <v>208000</v>
      </c>
      <c r="R22" s="75">
        <f t="shared" si="66"/>
        <v>208000</v>
      </c>
      <c r="S22" s="75">
        <f t="shared" si="66"/>
        <v>208000</v>
      </c>
      <c r="T22" s="75">
        <f t="shared" si="66"/>
        <v>208000</v>
      </c>
      <c r="U22" s="75">
        <f t="shared" si="66"/>
        <v>208000</v>
      </c>
      <c r="V22" s="75">
        <f t="shared" si="66"/>
        <v>208000</v>
      </c>
      <c r="W22" s="75">
        <f t="shared" si="66"/>
        <v>208000</v>
      </c>
      <c r="X22" s="75">
        <f t="shared" si="66"/>
        <v>208000</v>
      </c>
      <c r="Y22" s="75">
        <f t="shared" si="66"/>
        <v>208000</v>
      </c>
      <c r="Z22" s="75">
        <f t="shared" si="66"/>
        <v>208000</v>
      </c>
      <c r="AA22" s="75">
        <f t="shared" si="66"/>
        <v>208000</v>
      </c>
      <c r="AB22" s="75">
        <f t="shared" si="66"/>
        <v>208000</v>
      </c>
      <c r="AC22" s="75">
        <f>ROUND(+AA22*(1+AA$11),0)</f>
        <v>216320</v>
      </c>
      <c r="AD22" s="75">
        <f t="shared" ref="AD22:AO22" si="67">+AC22</f>
        <v>216320</v>
      </c>
      <c r="AE22" s="75">
        <f t="shared" si="67"/>
        <v>216320</v>
      </c>
      <c r="AF22" s="75">
        <f t="shared" si="67"/>
        <v>216320</v>
      </c>
      <c r="AG22" s="75">
        <f t="shared" si="67"/>
        <v>216320</v>
      </c>
      <c r="AH22" s="75">
        <f t="shared" si="67"/>
        <v>216320</v>
      </c>
      <c r="AI22" s="75">
        <f t="shared" si="67"/>
        <v>216320</v>
      </c>
      <c r="AJ22" s="75">
        <f t="shared" si="67"/>
        <v>216320</v>
      </c>
      <c r="AK22" s="75">
        <f t="shared" si="67"/>
        <v>216320</v>
      </c>
      <c r="AL22" s="75">
        <f t="shared" si="67"/>
        <v>216320</v>
      </c>
      <c r="AM22" s="75">
        <f t="shared" si="67"/>
        <v>216320</v>
      </c>
      <c r="AN22" s="75">
        <f t="shared" si="67"/>
        <v>216320</v>
      </c>
      <c r="AO22" s="75">
        <f t="shared" si="67"/>
        <v>216320</v>
      </c>
      <c r="AP22" s="254">
        <f>ROUND(+AN22*(1+AN$11),0)</f>
        <v>224973</v>
      </c>
      <c r="AQ22" s="75">
        <f t="shared" ref="AQ22:BB22" si="68">+AP22</f>
        <v>224973</v>
      </c>
      <c r="AR22" s="75">
        <f t="shared" si="68"/>
        <v>224973</v>
      </c>
      <c r="AS22" s="75">
        <f t="shared" si="68"/>
        <v>224973</v>
      </c>
      <c r="AT22" s="75">
        <f t="shared" si="68"/>
        <v>224973</v>
      </c>
      <c r="AU22" s="75">
        <f t="shared" si="68"/>
        <v>224973</v>
      </c>
      <c r="AV22" s="75">
        <f t="shared" si="68"/>
        <v>224973</v>
      </c>
      <c r="AW22" s="75">
        <f t="shared" si="68"/>
        <v>224973</v>
      </c>
      <c r="AX22" s="75">
        <f t="shared" si="68"/>
        <v>224973</v>
      </c>
      <c r="AY22" s="75">
        <f t="shared" si="68"/>
        <v>224973</v>
      </c>
      <c r="AZ22" s="75">
        <f t="shared" si="68"/>
        <v>224973</v>
      </c>
      <c r="BA22" s="75">
        <f t="shared" si="68"/>
        <v>224973</v>
      </c>
      <c r="BB22" s="75">
        <f t="shared" si="68"/>
        <v>224973</v>
      </c>
      <c r="BC22" s="254">
        <f>ROUND(+BA22*(1+BA$11),0)</f>
        <v>233972</v>
      </c>
      <c r="BD22" s="75">
        <f t="shared" ref="BD22:BO22" si="69">+BC22</f>
        <v>233972</v>
      </c>
      <c r="BE22" s="75">
        <f t="shared" si="69"/>
        <v>233972</v>
      </c>
      <c r="BF22" s="75">
        <f t="shared" si="69"/>
        <v>233972</v>
      </c>
      <c r="BG22" s="75">
        <f t="shared" si="69"/>
        <v>233972</v>
      </c>
      <c r="BH22" s="75">
        <f t="shared" si="69"/>
        <v>233972</v>
      </c>
      <c r="BI22" s="75">
        <f t="shared" si="69"/>
        <v>233972</v>
      </c>
      <c r="BJ22" s="75">
        <f t="shared" si="69"/>
        <v>233972</v>
      </c>
      <c r="BK22" s="75">
        <f t="shared" si="69"/>
        <v>233972</v>
      </c>
      <c r="BL22" s="75">
        <f t="shared" si="69"/>
        <v>233972</v>
      </c>
      <c r="BM22" s="75">
        <f t="shared" si="69"/>
        <v>233972</v>
      </c>
      <c r="BN22" s="75">
        <f t="shared" si="69"/>
        <v>233972</v>
      </c>
      <c r="BO22" s="82">
        <f t="shared" si="69"/>
        <v>233972</v>
      </c>
    </row>
    <row r="23" spans="1:69" x14ac:dyDescent="0.25">
      <c r="A23" s="399"/>
      <c r="B23" s="83" t="s">
        <v>270</v>
      </c>
      <c r="C23" s="102">
        <v>400000</v>
      </c>
      <c r="D23" s="74">
        <f t="shared" ref="D23:O23" si="70">+C23</f>
        <v>400000</v>
      </c>
      <c r="E23" s="74">
        <f t="shared" si="70"/>
        <v>400000</v>
      </c>
      <c r="F23" s="74">
        <f t="shared" si="70"/>
        <v>400000</v>
      </c>
      <c r="G23" s="74">
        <f t="shared" si="70"/>
        <v>400000</v>
      </c>
      <c r="H23" s="74">
        <f t="shared" si="70"/>
        <v>400000</v>
      </c>
      <c r="I23" s="74">
        <f t="shared" si="70"/>
        <v>400000</v>
      </c>
      <c r="J23" s="74">
        <f t="shared" si="70"/>
        <v>400000</v>
      </c>
      <c r="K23" s="74">
        <f t="shared" si="70"/>
        <v>400000</v>
      </c>
      <c r="L23" s="74">
        <f t="shared" si="70"/>
        <v>400000</v>
      </c>
      <c r="M23" s="74">
        <f t="shared" si="70"/>
        <v>400000</v>
      </c>
      <c r="N23" s="74">
        <f t="shared" si="70"/>
        <v>400000</v>
      </c>
      <c r="O23" s="75">
        <f t="shared" si="70"/>
        <v>400000</v>
      </c>
      <c r="P23" s="75">
        <f>ROUND(+N23*(1+N$11),0)</f>
        <v>416000</v>
      </c>
      <c r="Q23" s="75">
        <f t="shared" ref="Q23:AB23" si="71">+P23</f>
        <v>416000</v>
      </c>
      <c r="R23" s="75">
        <f t="shared" si="71"/>
        <v>416000</v>
      </c>
      <c r="S23" s="75">
        <f t="shared" si="71"/>
        <v>416000</v>
      </c>
      <c r="T23" s="75">
        <f t="shared" si="71"/>
        <v>416000</v>
      </c>
      <c r="U23" s="75">
        <f t="shared" si="71"/>
        <v>416000</v>
      </c>
      <c r="V23" s="75">
        <f t="shared" si="71"/>
        <v>416000</v>
      </c>
      <c r="W23" s="75">
        <f t="shared" si="71"/>
        <v>416000</v>
      </c>
      <c r="X23" s="75">
        <f t="shared" si="71"/>
        <v>416000</v>
      </c>
      <c r="Y23" s="75">
        <f t="shared" si="71"/>
        <v>416000</v>
      </c>
      <c r="Z23" s="75">
        <f t="shared" si="71"/>
        <v>416000</v>
      </c>
      <c r="AA23" s="75">
        <f t="shared" si="71"/>
        <v>416000</v>
      </c>
      <c r="AB23" s="75">
        <f t="shared" si="71"/>
        <v>416000</v>
      </c>
      <c r="AC23" s="75">
        <f>ROUND(+AA23*(1+AA$11),0)</f>
        <v>432640</v>
      </c>
      <c r="AD23" s="75">
        <f t="shared" ref="AD23:AO23" si="72">+AC23</f>
        <v>432640</v>
      </c>
      <c r="AE23" s="75">
        <f t="shared" si="72"/>
        <v>432640</v>
      </c>
      <c r="AF23" s="75">
        <f t="shared" si="72"/>
        <v>432640</v>
      </c>
      <c r="AG23" s="75">
        <f t="shared" si="72"/>
        <v>432640</v>
      </c>
      <c r="AH23" s="75">
        <f t="shared" si="72"/>
        <v>432640</v>
      </c>
      <c r="AI23" s="75">
        <f t="shared" si="72"/>
        <v>432640</v>
      </c>
      <c r="AJ23" s="75">
        <f t="shared" si="72"/>
        <v>432640</v>
      </c>
      <c r="AK23" s="75">
        <f t="shared" si="72"/>
        <v>432640</v>
      </c>
      <c r="AL23" s="75">
        <f t="shared" si="72"/>
        <v>432640</v>
      </c>
      <c r="AM23" s="75">
        <f t="shared" si="72"/>
        <v>432640</v>
      </c>
      <c r="AN23" s="75">
        <f t="shared" si="72"/>
        <v>432640</v>
      </c>
      <c r="AO23" s="75">
        <f t="shared" si="72"/>
        <v>432640</v>
      </c>
      <c r="AP23" s="254">
        <f>ROUND(+AN23*(1+AN$11),0)</f>
        <v>449946</v>
      </c>
      <c r="AQ23" s="75">
        <f t="shared" ref="AQ23:BB23" si="73">+AP23</f>
        <v>449946</v>
      </c>
      <c r="AR23" s="75">
        <f t="shared" si="73"/>
        <v>449946</v>
      </c>
      <c r="AS23" s="75">
        <f t="shared" si="73"/>
        <v>449946</v>
      </c>
      <c r="AT23" s="75">
        <f t="shared" si="73"/>
        <v>449946</v>
      </c>
      <c r="AU23" s="75">
        <f t="shared" si="73"/>
        <v>449946</v>
      </c>
      <c r="AV23" s="75">
        <f t="shared" si="73"/>
        <v>449946</v>
      </c>
      <c r="AW23" s="75">
        <f t="shared" si="73"/>
        <v>449946</v>
      </c>
      <c r="AX23" s="75">
        <f t="shared" si="73"/>
        <v>449946</v>
      </c>
      <c r="AY23" s="75">
        <f t="shared" si="73"/>
        <v>449946</v>
      </c>
      <c r="AZ23" s="75">
        <f t="shared" si="73"/>
        <v>449946</v>
      </c>
      <c r="BA23" s="75">
        <f t="shared" si="73"/>
        <v>449946</v>
      </c>
      <c r="BB23" s="75">
        <f t="shared" si="73"/>
        <v>449946</v>
      </c>
      <c r="BC23" s="254">
        <f>ROUND(+BA23*(1+BA$11),0)</f>
        <v>467944</v>
      </c>
      <c r="BD23" s="75">
        <f t="shared" ref="BD23:BO23" si="74">+BC23</f>
        <v>467944</v>
      </c>
      <c r="BE23" s="75">
        <f t="shared" si="74"/>
        <v>467944</v>
      </c>
      <c r="BF23" s="75">
        <f t="shared" si="74"/>
        <v>467944</v>
      </c>
      <c r="BG23" s="75">
        <f t="shared" si="74"/>
        <v>467944</v>
      </c>
      <c r="BH23" s="75">
        <f t="shared" si="74"/>
        <v>467944</v>
      </c>
      <c r="BI23" s="75">
        <f t="shared" si="74"/>
        <v>467944</v>
      </c>
      <c r="BJ23" s="75">
        <f t="shared" si="74"/>
        <v>467944</v>
      </c>
      <c r="BK23" s="75">
        <f t="shared" si="74"/>
        <v>467944</v>
      </c>
      <c r="BL23" s="75">
        <f t="shared" si="74"/>
        <v>467944</v>
      </c>
      <c r="BM23" s="75">
        <f t="shared" si="74"/>
        <v>467944</v>
      </c>
      <c r="BN23" s="75">
        <f t="shared" si="74"/>
        <v>467944</v>
      </c>
      <c r="BO23" s="82">
        <f t="shared" si="74"/>
        <v>467944</v>
      </c>
    </row>
    <row r="24" spans="1:69" x14ac:dyDescent="0.25">
      <c r="A24" s="399"/>
      <c r="B24" s="83" t="s">
        <v>271</v>
      </c>
      <c r="C24" s="102">
        <v>200000</v>
      </c>
      <c r="D24" s="74">
        <f t="shared" ref="D24:O24" si="75">+C24</f>
        <v>200000</v>
      </c>
      <c r="E24" s="74">
        <f t="shared" si="75"/>
        <v>200000</v>
      </c>
      <c r="F24" s="74">
        <f t="shared" si="75"/>
        <v>200000</v>
      </c>
      <c r="G24" s="74">
        <f t="shared" si="75"/>
        <v>200000</v>
      </c>
      <c r="H24" s="74">
        <f t="shared" si="75"/>
        <v>200000</v>
      </c>
      <c r="I24" s="74">
        <f t="shared" si="75"/>
        <v>200000</v>
      </c>
      <c r="J24" s="74">
        <f t="shared" si="75"/>
        <v>200000</v>
      </c>
      <c r="K24" s="74">
        <f t="shared" si="75"/>
        <v>200000</v>
      </c>
      <c r="L24" s="74">
        <f t="shared" si="75"/>
        <v>200000</v>
      </c>
      <c r="M24" s="74">
        <f t="shared" si="75"/>
        <v>200000</v>
      </c>
      <c r="N24" s="74">
        <f t="shared" si="75"/>
        <v>200000</v>
      </c>
      <c r="O24" s="75">
        <f t="shared" si="75"/>
        <v>200000</v>
      </c>
      <c r="P24" s="75">
        <f>ROUND(+N24*(1+N$11),0)</f>
        <v>208000</v>
      </c>
      <c r="Q24" s="75">
        <f t="shared" ref="Q24:AB24" si="76">+P24</f>
        <v>208000</v>
      </c>
      <c r="R24" s="75">
        <f t="shared" si="76"/>
        <v>208000</v>
      </c>
      <c r="S24" s="75">
        <f t="shared" si="76"/>
        <v>208000</v>
      </c>
      <c r="T24" s="75">
        <f t="shared" si="76"/>
        <v>208000</v>
      </c>
      <c r="U24" s="75">
        <f t="shared" si="76"/>
        <v>208000</v>
      </c>
      <c r="V24" s="75">
        <f t="shared" si="76"/>
        <v>208000</v>
      </c>
      <c r="W24" s="75">
        <f t="shared" si="76"/>
        <v>208000</v>
      </c>
      <c r="X24" s="75">
        <f t="shared" si="76"/>
        <v>208000</v>
      </c>
      <c r="Y24" s="75">
        <f t="shared" si="76"/>
        <v>208000</v>
      </c>
      <c r="Z24" s="75">
        <f t="shared" si="76"/>
        <v>208000</v>
      </c>
      <c r="AA24" s="75">
        <f t="shared" si="76"/>
        <v>208000</v>
      </c>
      <c r="AB24" s="75">
        <f t="shared" si="76"/>
        <v>208000</v>
      </c>
      <c r="AC24" s="75">
        <f>ROUND(+AA24*(1+AA$11),0)</f>
        <v>216320</v>
      </c>
      <c r="AD24" s="75">
        <f t="shared" ref="AD24:AO24" si="77">+AC24</f>
        <v>216320</v>
      </c>
      <c r="AE24" s="75">
        <f t="shared" si="77"/>
        <v>216320</v>
      </c>
      <c r="AF24" s="75">
        <f t="shared" si="77"/>
        <v>216320</v>
      </c>
      <c r="AG24" s="75">
        <f t="shared" si="77"/>
        <v>216320</v>
      </c>
      <c r="AH24" s="75">
        <f t="shared" si="77"/>
        <v>216320</v>
      </c>
      <c r="AI24" s="75">
        <f t="shared" si="77"/>
        <v>216320</v>
      </c>
      <c r="AJ24" s="75">
        <f t="shared" si="77"/>
        <v>216320</v>
      </c>
      <c r="AK24" s="75">
        <f t="shared" si="77"/>
        <v>216320</v>
      </c>
      <c r="AL24" s="75">
        <f t="shared" si="77"/>
        <v>216320</v>
      </c>
      <c r="AM24" s="75">
        <f t="shared" si="77"/>
        <v>216320</v>
      </c>
      <c r="AN24" s="75">
        <f t="shared" si="77"/>
        <v>216320</v>
      </c>
      <c r="AO24" s="75">
        <f t="shared" si="77"/>
        <v>216320</v>
      </c>
      <c r="AP24" s="254">
        <f>ROUND(+AN24*(1+AN$11),0)</f>
        <v>224973</v>
      </c>
      <c r="AQ24" s="75">
        <f t="shared" ref="AQ24:BB24" si="78">+AP24</f>
        <v>224973</v>
      </c>
      <c r="AR24" s="75">
        <f t="shared" si="78"/>
        <v>224973</v>
      </c>
      <c r="AS24" s="75">
        <f t="shared" si="78"/>
        <v>224973</v>
      </c>
      <c r="AT24" s="75">
        <f t="shared" si="78"/>
        <v>224973</v>
      </c>
      <c r="AU24" s="75">
        <f t="shared" si="78"/>
        <v>224973</v>
      </c>
      <c r="AV24" s="75">
        <f t="shared" si="78"/>
        <v>224973</v>
      </c>
      <c r="AW24" s="75">
        <f t="shared" si="78"/>
        <v>224973</v>
      </c>
      <c r="AX24" s="75">
        <f t="shared" si="78"/>
        <v>224973</v>
      </c>
      <c r="AY24" s="75">
        <f t="shared" si="78"/>
        <v>224973</v>
      </c>
      <c r="AZ24" s="75">
        <f t="shared" si="78"/>
        <v>224973</v>
      </c>
      <c r="BA24" s="75">
        <f t="shared" si="78"/>
        <v>224973</v>
      </c>
      <c r="BB24" s="75">
        <f t="shared" si="78"/>
        <v>224973</v>
      </c>
      <c r="BC24" s="254">
        <f>ROUND(+BA24*(1+BA$11),0)</f>
        <v>233972</v>
      </c>
      <c r="BD24" s="75">
        <f t="shared" ref="BD24:BO24" si="79">+BC24</f>
        <v>233972</v>
      </c>
      <c r="BE24" s="75">
        <f t="shared" si="79"/>
        <v>233972</v>
      </c>
      <c r="BF24" s="75">
        <f t="shared" si="79"/>
        <v>233972</v>
      </c>
      <c r="BG24" s="75">
        <f t="shared" si="79"/>
        <v>233972</v>
      </c>
      <c r="BH24" s="75">
        <f t="shared" si="79"/>
        <v>233972</v>
      </c>
      <c r="BI24" s="75">
        <f t="shared" si="79"/>
        <v>233972</v>
      </c>
      <c r="BJ24" s="75">
        <f t="shared" si="79"/>
        <v>233972</v>
      </c>
      <c r="BK24" s="75">
        <f t="shared" si="79"/>
        <v>233972</v>
      </c>
      <c r="BL24" s="75">
        <f t="shared" si="79"/>
        <v>233972</v>
      </c>
      <c r="BM24" s="75">
        <f t="shared" si="79"/>
        <v>233972</v>
      </c>
      <c r="BN24" s="75">
        <f t="shared" si="79"/>
        <v>233972</v>
      </c>
      <c r="BO24" s="82">
        <f t="shared" si="79"/>
        <v>233972</v>
      </c>
    </row>
    <row r="25" spans="1:69" ht="15.75" thickBot="1" x14ac:dyDescent="0.3">
      <c r="A25" s="400"/>
      <c r="B25" s="169" t="s">
        <v>263</v>
      </c>
      <c r="C25" s="109">
        <f t="shared" ref="C25:N25" si="80">SUM(C20:C24)</f>
        <v>1700000</v>
      </c>
      <c r="D25" s="109">
        <f t="shared" si="80"/>
        <v>1700000</v>
      </c>
      <c r="E25" s="109">
        <f t="shared" si="80"/>
        <v>1700000</v>
      </c>
      <c r="F25" s="109">
        <f t="shared" si="80"/>
        <v>1700000</v>
      </c>
      <c r="G25" s="109">
        <f t="shared" si="80"/>
        <v>1700000</v>
      </c>
      <c r="H25" s="109">
        <f t="shared" si="80"/>
        <v>1700000</v>
      </c>
      <c r="I25" s="109">
        <f t="shared" si="80"/>
        <v>1700000</v>
      </c>
      <c r="J25" s="109">
        <f t="shared" si="80"/>
        <v>1700000</v>
      </c>
      <c r="K25" s="109">
        <f t="shared" si="80"/>
        <v>1700000</v>
      </c>
      <c r="L25" s="109">
        <f t="shared" si="80"/>
        <v>1700000</v>
      </c>
      <c r="M25" s="109">
        <f t="shared" si="80"/>
        <v>1700000</v>
      </c>
      <c r="N25" s="109">
        <f t="shared" si="80"/>
        <v>1700000</v>
      </c>
      <c r="O25" s="109">
        <f>SUM(C25:N25)</f>
        <v>20400000</v>
      </c>
      <c r="P25" s="109">
        <f t="shared" ref="P25:AA25" si="81">SUM(P20:P24)</f>
        <v>1768000</v>
      </c>
      <c r="Q25" s="109">
        <f t="shared" si="81"/>
        <v>1768000</v>
      </c>
      <c r="R25" s="109">
        <f t="shared" si="81"/>
        <v>1768000</v>
      </c>
      <c r="S25" s="109">
        <f t="shared" si="81"/>
        <v>1768000</v>
      </c>
      <c r="T25" s="109">
        <f t="shared" si="81"/>
        <v>1768000</v>
      </c>
      <c r="U25" s="109">
        <f t="shared" si="81"/>
        <v>1768000</v>
      </c>
      <c r="V25" s="109">
        <f t="shared" si="81"/>
        <v>1768000</v>
      </c>
      <c r="W25" s="109">
        <f t="shared" si="81"/>
        <v>1768000</v>
      </c>
      <c r="X25" s="109">
        <f t="shared" si="81"/>
        <v>1768000</v>
      </c>
      <c r="Y25" s="109">
        <f t="shared" si="81"/>
        <v>1768000</v>
      </c>
      <c r="Z25" s="109">
        <f t="shared" si="81"/>
        <v>1768000</v>
      </c>
      <c r="AA25" s="109">
        <f t="shared" si="81"/>
        <v>1768000</v>
      </c>
      <c r="AB25" s="109">
        <f>SUM(P25:AA25)</f>
        <v>21216000</v>
      </c>
      <c r="AC25" s="109">
        <f t="shared" ref="AC25:AN25" si="82">SUM(AC20:AC24)</f>
        <v>1838720</v>
      </c>
      <c r="AD25" s="109">
        <f t="shared" si="82"/>
        <v>1838720</v>
      </c>
      <c r="AE25" s="109">
        <f t="shared" si="82"/>
        <v>1838720</v>
      </c>
      <c r="AF25" s="109">
        <f t="shared" si="82"/>
        <v>1838720</v>
      </c>
      <c r="AG25" s="109">
        <f t="shared" si="82"/>
        <v>1838720</v>
      </c>
      <c r="AH25" s="109">
        <f t="shared" si="82"/>
        <v>1838720</v>
      </c>
      <c r="AI25" s="109">
        <f t="shared" si="82"/>
        <v>1838720</v>
      </c>
      <c r="AJ25" s="109">
        <f t="shared" si="82"/>
        <v>1838720</v>
      </c>
      <c r="AK25" s="109">
        <f t="shared" si="82"/>
        <v>1838720</v>
      </c>
      <c r="AL25" s="109">
        <f t="shared" si="82"/>
        <v>1838720</v>
      </c>
      <c r="AM25" s="109">
        <f t="shared" si="82"/>
        <v>1838720</v>
      </c>
      <c r="AN25" s="109">
        <f t="shared" si="82"/>
        <v>1838720</v>
      </c>
      <c r="AO25" s="109">
        <f>SUM(AC25:AN25)</f>
        <v>22064640</v>
      </c>
      <c r="AP25" s="250">
        <f t="shared" ref="AP25:BA25" si="83">SUM(AP20:AP24)</f>
        <v>1912270</v>
      </c>
      <c r="AQ25" s="109">
        <f t="shared" si="83"/>
        <v>1912270</v>
      </c>
      <c r="AR25" s="109">
        <f t="shared" si="83"/>
        <v>1912270</v>
      </c>
      <c r="AS25" s="109">
        <f t="shared" si="83"/>
        <v>1912270</v>
      </c>
      <c r="AT25" s="109">
        <f t="shared" si="83"/>
        <v>1912270</v>
      </c>
      <c r="AU25" s="109">
        <f t="shared" si="83"/>
        <v>1912270</v>
      </c>
      <c r="AV25" s="109">
        <f t="shared" si="83"/>
        <v>1912270</v>
      </c>
      <c r="AW25" s="109">
        <f t="shared" si="83"/>
        <v>1912270</v>
      </c>
      <c r="AX25" s="109">
        <f t="shared" si="83"/>
        <v>1912270</v>
      </c>
      <c r="AY25" s="109">
        <f t="shared" si="83"/>
        <v>1912270</v>
      </c>
      <c r="AZ25" s="109">
        <f t="shared" si="83"/>
        <v>1912270</v>
      </c>
      <c r="BA25" s="109">
        <f t="shared" si="83"/>
        <v>1912270</v>
      </c>
      <c r="BB25" s="109">
        <f>SUM(AP25:BA25)</f>
        <v>22947240</v>
      </c>
      <c r="BC25" s="250">
        <f t="shared" ref="BC25:BN25" si="84">SUM(BC20:BC24)</f>
        <v>1988761</v>
      </c>
      <c r="BD25" s="109">
        <f t="shared" si="84"/>
        <v>1988761</v>
      </c>
      <c r="BE25" s="109">
        <f t="shared" si="84"/>
        <v>1988761</v>
      </c>
      <c r="BF25" s="109">
        <f t="shared" si="84"/>
        <v>1988761</v>
      </c>
      <c r="BG25" s="109">
        <f t="shared" si="84"/>
        <v>1988761</v>
      </c>
      <c r="BH25" s="109">
        <f t="shared" si="84"/>
        <v>1988761</v>
      </c>
      <c r="BI25" s="109">
        <f t="shared" si="84"/>
        <v>1988761</v>
      </c>
      <c r="BJ25" s="109">
        <f t="shared" si="84"/>
        <v>1988761</v>
      </c>
      <c r="BK25" s="109">
        <f t="shared" si="84"/>
        <v>1988761</v>
      </c>
      <c r="BL25" s="109">
        <f t="shared" si="84"/>
        <v>1988761</v>
      </c>
      <c r="BM25" s="109">
        <f t="shared" si="84"/>
        <v>1988761</v>
      </c>
      <c r="BN25" s="109">
        <f t="shared" si="84"/>
        <v>1988761</v>
      </c>
      <c r="BO25" s="110">
        <f>SUM(BC25:BN25)</f>
        <v>23865132</v>
      </c>
    </row>
    <row r="26" spans="1:69" ht="15" customHeight="1" x14ac:dyDescent="0.25">
      <c r="A26" s="398" t="s">
        <v>266</v>
      </c>
      <c r="B26" s="166" t="s">
        <v>279</v>
      </c>
      <c r="C26" s="173">
        <v>3000000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/>
      <c r="P26" s="175">
        <f>ROUND(+N26*(1+N$11),0)</f>
        <v>0</v>
      </c>
      <c r="Q26" s="175">
        <f t="shared" ref="Q26:AA26" si="85">+P26</f>
        <v>0</v>
      </c>
      <c r="R26" s="175">
        <f t="shared" si="85"/>
        <v>0</v>
      </c>
      <c r="S26" s="175">
        <f t="shared" si="85"/>
        <v>0</v>
      </c>
      <c r="T26" s="175">
        <f t="shared" si="85"/>
        <v>0</v>
      </c>
      <c r="U26" s="175">
        <f t="shared" si="85"/>
        <v>0</v>
      </c>
      <c r="V26" s="175">
        <f t="shared" si="85"/>
        <v>0</v>
      </c>
      <c r="W26" s="175">
        <f t="shared" si="85"/>
        <v>0</v>
      </c>
      <c r="X26" s="175">
        <f t="shared" si="85"/>
        <v>0</v>
      </c>
      <c r="Y26" s="175">
        <f t="shared" si="85"/>
        <v>0</v>
      </c>
      <c r="Z26" s="175">
        <f t="shared" si="85"/>
        <v>0</v>
      </c>
      <c r="AA26" s="175">
        <f t="shared" si="85"/>
        <v>0</v>
      </c>
      <c r="AB26" s="126"/>
      <c r="AC26" s="175">
        <f>ROUND(+AA26*(1+AA$11),0)</f>
        <v>0</v>
      </c>
      <c r="AD26" s="175">
        <f t="shared" ref="AD26:AN26" si="86">+AC26</f>
        <v>0</v>
      </c>
      <c r="AE26" s="175">
        <f t="shared" si="86"/>
        <v>0</v>
      </c>
      <c r="AF26" s="175">
        <f t="shared" si="86"/>
        <v>0</v>
      </c>
      <c r="AG26" s="175">
        <f t="shared" si="86"/>
        <v>0</v>
      </c>
      <c r="AH26" s="175">
        <f t="shared" si="86"/>
        <v>0</v>
      </c>
      <c r="AI26" s="175">
        <f t="shared" si="86"/>
        <v>0</v>
      </c>
      <c r="AJ26" s="175">
        <f t="shared" si="86"/>
        <v>0</v>
      </c>
      <c r="AK26" s="175">
        <f t="shared" si="86"/>
        <v>0</v>
      </c>
      <c r="AL26" s="175">
        <f t="shared" si="86"/>
        <v>0</v>
      </c>
      <c r="AM26" s="175">
        <f t="shared" si="86"/>
        <v>0</v>
      </c>
      <c r="AN26" s="175">
        <f t="shared" si="86"/>
        <v>0</v>
      </c>
      <c r="AO26" s="126"/>
      <c r="AP26" s="253">
        <f>ROUND(+AN26*(1+AN$11),0)</f>
        <v>0</v>
      </c>
      <c r="AQ26" s="175">
        <f t="shared" ref="AQ26:BA26" si="87">+AP26</f>
        <v>0</v>
      </c>
      <c r="AR26" s="175">
        <f t="shared" si="87"/>
        <v>0</v>
      </c>
      <c r="AS26" s="175">
        <f t="shared" si="87"/>
        <v>0</v>
      </c>
      <c r="AT26" s="175">
        <f t="shared" si="87"/>
        <v>0</v>
      </c>
      <c r="AU26" s="175">
        <f t="shared" si="87"/>
        <v>0</v>
      </c>
      <c r="AV26" s="175">
        <f t="shared" si="87"/>
        <v>0</v>
      </c>
      <c r="AW26" s="175">
        <f t="shared" si="87"/>
        <v>0</v>
      </c>
      <c r="AX26" s="175">
        <f t="shared" si="87"/>
        <v>0</v>
      </c>
      <c r="AY26" s="175">
        <f t="shared" si="87"/>
        <v>0</v>
      </c>
      <c r="AZ26" s="175">
        <f t="shared" si="87"/>
        <v>0</v>
      </c>
      <c r="BA26" s="175">
        <f t="shared" si="87"/>
        <v>0</v>
      </c>
      <c r="BB26" s="126"/>
      <c r="BC26" s="253">
        <f>ROUND(+BA26*(1+BA$11),0)</f>
        <v>0</v>
      </c>
      <c r="BD26" s="175">
        <f t="shared" ref="BD26:BN26" si="88">+BC26</f>
        <v>0</v>
      </c>
      <c r="BE26" s="175">
        <f t="shared" si="88"/>
        <v>0</v>
      </c>
      <c r="BF26" s="175">
        <f t="shared" si="88"/>
        <v>0</v>
      </c>
      <c r="BG26" s="175">
        <f t="shared" si="88"/>
        <v>0</v>
      </c>
      <c r="BH26" s="175">
        <f t="shared" si="88"/>
        <v>0</v>
      </c>
      <c r="BI26" s="175">
        <f t="shared" si="88"/>
        <v>0</v>
      </c>
      <c r="BJ26" s="175">
        <f t="shared" si="88"/>
        <v>0</v>
      </c>
      <c r="BK26" s="175">
        <f t="shared" si="88"/>
        <v>0</v>
      </c>
      <c r="BL26" s="175">
        <f t="shared" si="88"/>
        <v>0</v>
      </c>
      <c r="BM26" s="175">
        <f t="shared" si="88"/>
        <v>0</v>
      </c>
      <c r="BN26" s="175">
        <f t="shared" si="88"/>
        <v>0</v>
      </c>
      <c r="BO26" s="308"/>
    </row>
    <row r="27" spans="1:69" x14ac:dyDescent="0.25">
      <c r="A27" s="399"/>
      <c r="B27" s="83" t="s">
        <v>267</v>
      </c>
      <c r="C27" s="102">
        <v>400000</v>
      </c>
      <c r="D27" s="74">
        <v>150000</v>
      </c>
      <c r="E27" s="74">
        <f t="shared" ref="E27:O27" si="89">+D27</f>
        <v>150000</v>
      </c>
      <c r="F27" s="74">
        <f t="shared" si="89"/>
        <v>150000</v>
      </c>
      <c r="G27" s="74">
        <f t="shared" si="89"/>
        <v>150000</v>
      </c>
      <c r="H27" s="74">
        <f t="shared" si="89"/>
        <v>150000</v>
      </c>
      <c r="I27" s="74">
        <f t="shared" si="89"/>
        <v>150000</v>
      </c>
      <c r="J27" s="74">
        <f t="shared" si="89"/>
        <v>150000</v>
      </c>
      <c r="K27" s="74">
        <f t="shared" si="89"/>
        <v>150000</v>
      </c>
      <c r="L27" s="74">
        <f t="shared" si="89"/>
        <v>150000</v>
      </c>
      <c r="M27" s="74">
        <f t="shared" si="89"/>
        <v>150000</v>
      </c>
      <c r="N27" s="74">
        <f t="shared" si="89"/>
        <v>150000</v>
      </c>
      <c r="O27" s="75">
        <f t="shared" si="89"/>
        <v>150000</v>
      </c>
      <c r="P27" s="75">
        <f>ROUND(+N27*(1+N$11),0)</f>
        <v>156000</v>
      </c>
      <c r="Q27" s="75">
        <f t="shared" ref="Q27:AA27" si="90">+P27</f>
        <v>156000</v>
      </c>
      <c r="R27" s="75">
        <f t="shared" si="90"/>
        <v>156000</v>
      </c>
      <c r="S27" s="75">
        <f t="shared" si="90"/>
        <v>156000</v>
      </c>
      <c r="T27" s="75">
        <f t="shared" si="90"/>
        <v>156000</v>
      </c>
      <c r="U27" s="75">
        <f t="shared" si="90"/>
        <v>156000</v>
      </c>
      <c r="V27" s="75">
        <f t="shared" si="90"/>
        <v>156000</v>
      </c>
      <c r="W27" s="75">
        <f t="shared" si="90"/>
        <v>156000</v>
      </c>
      <c r="X27" s="75">
        <f t="shared" si="90"/>
        <v>156000</v>
      </c>
      <c r="Y27" s="75">
        <f t="shared" si="90"/>
        <v>156000</v>
      </c>
      <c r="Z27" s="75">
        <f t="shared" si="90"/>
        <v>156000</v>
      </c>
      <c r="AA27" s="75">
        <f t="shared" si="90"/>
        <v>156000</v>
      </c>
      <c r="AB27" s="75">
        <f>+AA27</f>
        <v>156000</v>
      </c>
      <c r="AC27" s="75">
        <f>ROUND(+AA27*(1+AA$11),0)</f>
        <v>162240</v>
      </c>
      <c r="AD27" s="75">
        <f t="shared" ref="AD27:AN27" si="91">+AC27</f>
        <v>162240</v>
      </c>
      <c r="AE27" s="75">
        <f t="shared" si="91"/>
        <v>162240</v>
      </c>
      <c r="AF27" s="75">
        <f t="shared" si="91"/>
        <v>162240</v>
      </c>
      <c r="AG27" s="75">
        <f t="shared" si="91"/>
        <v>162240</v>
      </c>
      <c r="AH27" s="75">
        <f t="shared" si="91"/>
        <v>162240</v>
      </c>
      <c r="AI27" s="75">
        <f t="shared" si="91"/>
        <v>162240</v>
      </c>
      <c r="AJ27" s="75">
        <f t="shared" si="91"/>
        <v>162240</v>
      </c>
      <c r="AK27" s="75">
        <f t="shared" si="91"/>
        <v>162240</v>
      </c>
      <c r="AL27" s="75">
        <f t="shared" si="91"/>
        <v>162240</v>
      </c>
      <c r="AM27" s="75">
        <f t="shared" si="91"/>
        <v>162240</v>
      </c>
      <c r="AN27" s="75">
        <f t="shared" si="91"/>
        <v>162240</v>
      </c>
      <c r="AO27" s="75">
        <f>+AN27</f>
        <v>162240</v>
      </c>
      <c r="AP27" s="254">
        <f>ROUND(+AN27*(1+AN$11),0)</f>
        <v>168730</v>
      </c>
      <c r="AQ27" s="75">
        <f t="shared" ref="AQ27:BA27" si="92">+AP27</f>
        <v>168730</v>
      </c>
      <c r="AR27" s="75">
        <f t="shared" si="92"/>
        <v>168730</v>
      </c>
      <c r="AS27" s="75">
        <f t="shared" si="92"/>
        <v>168730</v>
      </c>
      <c r="AT27" s="75">
        <f t="shared" si="92"/>
        <v>168730</v>
      </c>
      <c r="AU27" s="75">
        <f t="shared" si="92"/>
        <v>168730</v>
      </c>
      <c r="AV27" s="75">
        <f t="shared" si="92"/>
        <v>168730</v>
      </c>
      <c r="AW27" s="75">
        <f t="shared" si="92"/>
        <v>168730</v>
      </c>
      <c r="AX27" s="75">
        <f t="shared" si="92"/>
        <v>168730</v>
      </c>
      <c r="AY27" s="75">
        <f t="shared" si="92"/>
        <v>168730</v>
      </c>
      <c r="AZ27" s="75">
        <f t="shared" si="92"/>
        <v>168730</v>
      </c>
      <c r="BA27" s="75">
        <f t="shared" si="92"/>
        <v>168730</v>
      </c>
      <c r="BB27" s="75">
        <f>+BA27</f>
        <v>168730</v>
      </c>
      <c r="BC27" s="254">
        <f>ROUND(+BA27*(1+BA$11),0)</f>
        <v>175479</v>
      </c>
      <c r="BD27" s="75">
        <f t="shared" ref="BD27:BN27" si="93">+BC27</f>
        <v>175479</v>
      </c>
      <c r="BE27" s="75">
        <f t="shared" si="93"/>
        <v>175479</v>
      </c>
      <c r="BF27" s="75">
        <f t="shared" si="93"/>
        <v>175479</v>
      </c>
      <c r="BG27" s="75">
        <f t="shared" si="93"/>
        <v>175479</v>
      </c>
      <c r="BH27" s="75">
        <f t="shared" si="93"/>
        <v>175479</v>
      </c>
      <c r="BI27" s="75">
        <f t="shared" si="93"/>
        <v>175479</v>
      </c>
      <c r="BJ27" s="75">
        <f t="shared" si="93"/>
        <v>175479</v>
      </c>
      <c r="BK27" s="75">
        <f t="shared" si="93"/>
        <v>175479</v>
      </c>
      <c r="BL27" s="75">
        <f t="shared" si="93"/>
        <v>175479</v>
      </c>
      <c r="BM27" s="75">
        <f t="shared" si="93"/>
        <v>175479</v>
      </c>
      <c r="BN27" s="75">
        <f t="shared" si="93"/>
        <v>175479</v>
      </c>
      <c r="BO27" s="82">
        <f>+BN27</f>
        <v>175479</v>
      </c>
    </row>
    <row r="28" spans="1:69" ht="15" customHeight="1" x14ac:dyDescent="0.25">
      <c r="A28" s="399"/>
      <c r="B28" s="83" t="s">
        <v>268</v>
      </c>
      <c r="C28" s="102">
        <v>200000</v>
      </c>
      <c r="D28" s="74">
        <f>+C28</f>
        <v>200000</v>
      </c>
      <c r="E28" s="74">
        <f t="shared" ref="E28:O28" si="94">+D28</f>
        <v>200000</v>
      </c>
      <c r="F28" s="74">
        <f t="shared" si="94"/>
        <v>200000</v>
      </c>
      <c r="G28" s="74">
        <f t="shared" si="94"/>
        <v>200000</v>
      </c>
      <c r="H28" s="74">
        <f t="shared" si="94"/>
        <v>200000</v>
      </c>
      <c r="I28" s="74">
        <f t="shared" si="94"/>
        <v>200000</v>
      </c>
      <c r="J28" s="74">
        <f t="shared" si="94"/>
        <v>200000</v>
      </c>
      <c r="K28" s="74">
        <f t="shared" si="94"/>
        <v>200000</v>
      </c>
      <c r="L28" s="74">
        <f t="shared" si="94"/>
        <v>200000</v>
      </c>
      <c r="M28" s="74">
        <f t="shared" si="94"/>
        <v>200000</v>
      </c>
      <c r="N28" s="74">
        <f t="shared" si="94"/>
        <v>200000</v>
      </c>
      <c r="O28" s="75">
        <f t="shared" si="94"/>
        <v>200000</v>
      </c>
      <c r="P28" s="75">
        <f>ROUND(+N28*(1+N$11),0)</f>
        <v>208000</v>
      </c>
      <c r="Q28" s="75">
        <f t="shared" ref="Q28:AA28" si="95">+P28</f>
        <v>208000</v>
      </c>
      <c r="R28" s="75">
        <f t="shared" si="95"/>
        <v>208000</v>
      </c>
      <c r="S28" s="75">
        <f t="shared" si="95"/>
        <v>208000</v>
      </c>
      <c r="T28" s="75">
        <f t="shared" si="95"/>
        <v>208000</v>
      </c>
      <c r="U28" s="75">
        <f t="shared" si="95"/>
        <v>208000</v>
      </c>
      <c r="V28" s="75">
        <f t="shared" si="95"/>
        <v>208000</v>
      </c>
      <c r="W28" s="75">
        <f t="shared" si="95"/>
        <v>208000</v>
      </c>
      <c r="X28" s="75">
        <f t="shared" si="95"/>
        <v>208000</v>
      </c>
      <c r="Y28" s="75">
        <f t="shared" si="95"/>
        <v>208000</v>
      </c>
      <c r="Z28" s="75">
        <f t="shared" si="95"/>
        <v>208000</v>
      </c>
      <c r="AA28" s="75">
        <f t="shared" si="95"/>
        <v>208000</v>
      </c>
      <c r="AB28" s="75">
        <f>+AA28</f>
        <v>208000</v>
      </c>
      <c r="AC28" s="75">
        <f>ROUND(+AA28*(1+AA$11),0)</f>
        <v>216320</v>
      </c>
      <c r="AD28" s="75">
        <f t="shared" ref="AD28:AN28" si="96">+AC28</f>
        <v>216320</v>
      </c>
      <c r="AE28" s="75">
        <f t="shared" si="96"/>
        <v>216320</v>
      </c>
      <c r="AF28" s="75">
        <f t="shared" si="96"/>
        <v>216320</v>
      </c>
      <c r="AG28" s="75">
        <f t="shared" si="96"/>
        <v>216320</v>
      </c>
      <c r="AH28" s="75">
        <f t="shared" si="96"/>
        <v>216320</v>
      </c>
      <c r="AI28" s="75">
        <f t="shared" si="96"/>
        <v>216320</v>
      </c>
      <c r="AJ28" s="75">
        <f t="shared" si="96"/>
        <v>216320</v>
      </c>
      <c r="AK28" s="75">
        <f t="shared" si="96"/>
        <v>216320</v>
      </c>
      <c r="AL28" s="75">
        <f t="shared" si="96"/>
        <v>216320</v>
      </c>
      <c r="AM28" s="75">
        <f t="shared" si="96"/>
        <v>216320</v>
      </c>
      <c r="AN28" s="75">
        <f t="shared" si="96"/>
        <v>216320</v>
      </c>
      <c r="AO28" s="75">
        <f>+AN28</f>
        <v>216320</v>
      </c>
      <c r="AP28" s="254">
        <f>ROUND(+AN28*(1+AN$11),0)</f>
        <v>224973</v>
      </c>
      <c r="AQ28" s="75">
        <f t="shared" ref="AQ28:BA28" si="97">+AP28</f>
        <v>224973</v>
      </c>
      <c r="AR28" s="75">
        <f t="shared" si="97"/>
        <v>224973</v>
      </c>
      <c r="AS28" s="75">
        <f t="shared" si="97"/>
        <v>224973</v>
      </c>
      <c r="AT28" s="75">
        <f t="shared" si="97"/>
        <v>224973</v>
      </c>
      <c r="AU28" s="75">
        <f t="shared" si="97"/>
        <v>224973</v>
      </c>
      <c r="AV28" s="75">
        <f t="shared" si="97"/>
        <v>224973</v>
      </c>
      <c r="AW28" s="75">
        <f t="shared" si="97"/>
        <v>224973</v>
      </c>
      <c r="AX28" s="75">
        <f t="shared" si="97"/>
        <v>224973</v>
      </c>
      <c r="AY28" s="75">
        <f t="shared" si="97"/>
        <v>224973</v>
      </c>
      <c r="AZ28" s="75">
        <f t="shared" si="97"/>
        <v>224973</v>
      </c>
      <c r="BA28" s="75">
        <f t="shared" si="97"/>
        <v>224973</v>
      </c>
      <c r="BB28" s="75">
        <f>+BA28</f>
        <v>224973</v>
      </c>
      <c r="BC28" s="254">
        <f>ROUND(+BA28*(1+BA$11),0)</f>
        <v>233972</v>
      </c>
      <c r="BD28" s="75">
        <f t="shared" ref="BD28:BN28" si="98">+BC28</f>
        <v>233972</v>
      </c>
      <c r="BE28" s="75">
        <f t="shared" si="98"/>
        <v>233972</v>
      </c>
      <c r="BF28" s="75">
        <f t="shared" si="98"/>
        <v>233972</v>
      </c>
      <c r="BG28" s="75">
        <f t="shared" si="98"/>
        <v>233972</v>
      </c>
      <c r="BH28" s="75">
        <f t="shared" si="98"/>
        <v>233972</v>
      </c>
      <c r="BI28" s="75">
        <f t="shared" si="98"/>
        <v>233972</v>
      </c>
      <c r="BJ28" s="75">
        <f t="shared" si="98"/>
        <v>233972</v>
      </c>
      <c r="BK28" s="75">
        <f t="shared" si="98"/>
        <v>233972</v>
      </c>
      <c r="BL28" s="75">
        <f t="shared" si="98"/>
        <v>233972</v>
      </c>
      <c r="BM28" s="75">
        <f t="shared" si="98"/>
        <v>233972</v>
      </c>
      <c r="BN28" s="75">
        <f t="shared" si="98"/>
        <v>233972</v>
      </c>
      <c r="BO28" s="82">
        <f>+BN28</f>
        <v>233972</v>
      </c>
    </row>
    <row r="29" spans="1:69" ht="15" customHeight="1" x14ac:dyDescent="0.25">
      <c r="A29" s="399"/>
      <c r="B29" s="83" t="s">
        <v>273</v>
      </c>
      <c r="C29" s="102">
        <v>200000</v>
      </c>
      <c r="D29" s="74">
        <f>+C29</f>
        <v>200000</v>
      </c>
      <c r="E29" s="74">
        <f t="shared" ref="E29:O29" si="99">+D29</f>
        <v>200000</v>
      </c>
      <c r="F29" s="74">
        <f t="shared" si="99"/>
        <v>200000</v>
      </c>
      <c r="G29" s="74">
        <f t="shared" si="99"/>
        <v>200000</v>
      </c>
      <c r="H29" s="74">
        <f t="shared" si="99"/>
        <v>200000</v>
      </c>
      <c r="I29" s="74">
        <f t="shared" si="99"/>
        <v>200000</v>
      </c>
      <c r="J29" s="74">
        <f t="shared" si="99"/>
        <v>200000</v>
      </c>
      <c r="K29" s="74">
        <f t="shared" si="99"/>
        <v>200000</v>
      </c>
      <c r="L29" s="74">
        <f t="shared" si="99"/>
        <v>200000</v>
      </c>
      <c r="M29" s="74">
        <f t="shared" si="99"/>
        <v>200000</v>
      </c>
      <c r="N29" s="74">
        <f t="shared" si="99"/>
        <v>200000</v>
      </c>
      <c r="O29" s="75">
        <f t="shared" si="99"/>
        <v>200000</v>
      </c>
      <c r="P29" s="75">
        <f>ROUND(+N29*(1+N$11),0)</f>
        <v>208000</v>
      </c>
      <c r="Q29" s="75">
        <f t="shared" ref="Q29:AA29" si="100">+P29</f>
        <v>208000</v>
      </c>
      <c r="R29" s="75">
        <f t="shared" si="100"/>
        <v>208000</v>
      </c>
      <c r="S29" s="75">
        <f t="shared" si="100"/>
        <v>208000</v>
      </c>
      <c r="T29" s="75">
        <f t="shared" si="100"/>
        <v>208000</v>
      </c>
      <c r="U29" s="75">
        <f t="shared" si="100"/>
        <v>208000</v>
      </c>
      <c r="V29" s="75">
        <f t="shared" si="100"/>
        <v>208000</v>
      </c>
      <c r="W29" s="75">
        <f t="shared" si="100"/>
        <v>208000</v>
      </c>
      <c r="X29" s="75">
        <f t="shared" si="100"/>
        <v>208000</v>
      </c>
      <c r="Y29" s="75">
        <f t="shared" si="100"/>
        <v>208000</v>
      </c>
      <c r="Z29" s="75">
        <f t="shared" si="100"/>
        <v>208000</v>
      </c>
      <c r="AA29" s="75">
        <f t="shared" si="100"/>
        <v>208000</v>
      </c>
      <c r="AB29" s="75">
        <f>+AA29</f>
        <v>208000</v>
      </c>
      <c r="AC29" s="75">
        <f>ROUND(+AA29*(1+AA$11),0)</f>
        <v>216320</v>
      </c>
      <c r="AD29" s="75">
        <f t="shared" ref="AD29:AN29" si="101">+AC29</f>
        <v>216320</v>
      </c>
      <c r="AE29" s="75">
        <f t="shared" si="101"/>
        <v>216320</v>
      </c>
      <c r="AF29" s="75">
        <f t="shared" si="101"/>
        <v>216320</v>
      </c>
      <c r="AG29" s="75">
        <f t="shared" si="101"/>
        <v>216320</v>
      </c>
      <c r="AH29" s="75">
        <f t="shared" si="101"/>
        <v>216320</v>
      </c>
      <c r="AI29" s="75">
        <f t="shared" si="101"/>
        <v>216320</v>
      </c>
      <c r="AJ29" s="75">
        <f t="shared" si="101"/>
        <v>216320</v>
      </c>
      <c r="AK29" s="75">
        <f t="shared" si="101"/>
        <v>216320</v>
      </c>
      <c r="AL29" s="75">
        <f t="shared" si="101"/>
        <v>216320</v>
      </c>
      <c r="AM29" s="75">
        <f t="shared" si="101"/>
        <v>216320</v>
      </c>
      <c r="AN29" s="75">
        <f t="shared" si="101"/>
        <v>216320</v>
      </c>
      <c r="AO29" s="75">
        <f>+AN29</f>
        <v>216320</v>
      </c>
      <c r="AP29" s="254">
        <f>ROUND(+AN29*(1+AN$11),0)</f>
        <v>224973</v>
      </c>
      <c r="AQ29" s="75">
        <f t="shared" ref="AQ29:BA29" si="102">+AP29</f>
        <v>224973</v>
      </c>
      <c r="AR29" s="75">
        <f t="shared" si="102"/>
        <v>224973</v>
      </c>
      <c r="AS29" s="75">
        <f t="shared" si="102"/>
        <v>224973</v>
      </c>
      <c r="AT29" s="75">
        <f t="shared" si="102"/>
        <v>224973</v>
      </c>
      <c r="AU29" s="75">
        <f t="shared" si="102"/>
        <v>224973</v>
      </c>
      <c r="AV29" s="75">
        <f t="shared" si="102"/>
        <v>224973</v>
      </c>
      <c r="AW29" s="75">
        <f t="shared" si="102"/>
        <v>224973</v>
      </c>
      <c r="AX29" s="75">
        <f t="shared" si="102"/>
        <v>224973</v>
      </c>
      <c r="AY29" s="75">
        <f t="shared" si="102"/>
        <v>224973</v>
      </c>
      <c r="AZ29" s="75">
        <f t="shared" si="102"/>
        <v>224973</v>
      </c>
      <c r="BA29" s="75">
        <f t="shared" si="102"/>
        <v>224973</v>
      </c>
      <c r="BB29" s="75">
        <f>+BA29</f>
        <v>224973</v>
      </c>
      <c r="BC29" s="254">
        <f>ROUND(+BA29*(1+BA$11),0)</f>
        <v>233972</v>
      </c>
      <c r="BD29" s="75">
        <f t="shared" ref="BD29:BN29" si="103">+BC29</f>
        <v>233972</v>
      </c>
      <c r="BE29" s="75">
        <f t="shared" si="103"/>
        <v>233972</v>
      </c>
      <c r="BF29" s="75">
        <f t="shared" si="103"/>
        <v>233972</v>
      </c>
      <c r="BG29" s="75">
        <f t="shared" si="103"/>
        <v>233972</v>
      </c>
      <c r="BH29" s="75">
        <f t="shared" si="103"/>
        <v>233972</v>
      </c>
      <c r="BI29" s="75">
        <f t="shared" si="103"/>
        <v>233972</v>
      </c>
      <c r="BJ29" s="75">
        <f t="shared" si="103"/>
        <v>233972</v>
      </c>
      <c r="BK29" s="75">
        <f t="shared" si="103"/>
        <v>233972</v>
      </c>
      <c r="BL29" s="75">
        <f t="shared" si="103"/>
        <v>233972</v>
      </c>
      <c r="BM29" s="75">
        <f t="shared" si="103"/>
        <v>233972</v>
      </c>
      <c r="BN29" s="75">
        <f t="shared" si="103"/>
        <v>233972</v>
      </c>
      <c r="BO29" s="82">
        <f>+BN29</f>
        <v>233972</v>
      </c>
    </row>
    <row r="30" spans="1:69" ht="15" customHeight="1" thickBot="1" x14ac:dyDescent="0.3">
      <c r="A30" s="399"/>
      <c r="B30" s="83" t="s">
        <v>280</v>
      </c>
      <c r="C30" s="102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5"/>
      <c r="P30" s="75">
        <v>0</v>
      </c>
      <c r="Q30" s="75">
        <v>0</v>
      </c>
      <c r="R30" s="75">
        <v>0</v>
      </c>
      <c r="S30" s="75">
        <v>1000000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1000000</v>
      </c>
      <c r="AC30" s="75">
        <f>ROUND(+AA30*(1+AA$11),0)</f>
        <v>0</v>
      </c>
      <c r="AD30" s="75">
        <f>+AC30</f>
        <v>0</v>
      </c>
      <c r="AE30" s="75">
        <f>+AD30</f>
        <v>0</v>
      </c>
      <c r="AF30" s="75">
        <v>1200000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1200000</v>
      </c>
      <c r="AP30" s="254">
        <f>ROUND(+AN30*(1+AN$11),0)</f>
        <v>0</v>
      </c>
      <c r="AQ30" s="75">
        <f>+AP30</f>
        <v>0</v>
      </c>
      <c r="AR30" s="75">
        <f>+AQ30</f>
        <v>0</v>
      </c>
      <c r="AS30" s="75">
        <v>1200000</v>
      </c>
      <c r="AT30" s="75"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1200000</v>
      </c>
      <c r="BC30" s="254">
        <f>ROUND(+BA30*(1+BA$11),0)</f>
        <v>0</v>
      </c>
      <c r="BD30" s="75">
        <f>+BC30</f>
        <v>0</v>
      </c>
      <c r="BE30" s="75">
        <f>+BD30</f>
        <v>0</v>
      </c>
      <c r="BF30" s="75">
        <v>1200000</v>
      </c>
      <c r="BG30" s="75">
        <v>0</v>
      </c>
      <c r="BH30" s="75"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82">
        <v>1200000</v>
      </c>
      <c r="BQ30" t="s">
        <v>328</v>
      </c>
    </row>
    <row r="31" spans="1:69" ht="15.75" hidden="1" customHeight="1" thickBot="1" x14ac:dyDescent="0.3">
      <c r="A31" s="400"/>
      <c r="B31" s="169" t="s">
        <v>274</v>
      </c>
      <c r="C31" s="109">
        <f>SUM(C26:C30)</f>
        <v>3800000</v>
      </c>
      <c r="D31" s="109">
        <f t="shared" ref="D31:N31" si="104">SUM(D26:D30)</f>
        <v>550000</v>
      </c>
      <c r="E31" s="109">
        <f t="shared" si="104"/>
        <v>550000</v>
      </c>
      <c r="F31" s="109">
        <f t="shared" si="104"/>
        <v>550000</v>
      </c>
      <c r="G31" s="109">
        <f t="shared" si="104"/>
        <v>550000</v>
      </c>
      <c r="H31" s="109">
        <f t="shared" si="104"/>
        <v>550000</v>
      </c>
      <c r="I31" s="109">
        <f t="shared" si="104"/>
        <v>550000</v>
      </c>
      <c r="J31" s="109">
        <f t="shared" si="104"/>
        <v>550000</v>
      </c>
      <c r="K31" s="109">
        <f t="shared" si="104"/>
        <v>550000</v>
      </c>
      <c r="L31" s="109">
        <f t="shared" si="104"/>
        <v>550000</v>
      </c>
      <c r="M31" s="109">
        <f t="shared" si="104"/>
        <v>550000</v>
      </c>
      <c r="N31" s="109">
        <f t="shared" si="104"/>
        <v>550000</v>
      </c>
      <c r="O31" s="109">
        <f>SUM(C31:N31)</f>
        <v>9850000</v>
      </c>
      <c r="P31" s="109">
        <f t="shared" ref="P31:AA31" si="105">SUM(P26:P30)</f>
        <v>572000</v>
      </c>
      <c r="Q31" s="109">
        <f t="shared" si="105"/>
        <v>572000</v>
      </c>
      <c r="R31" s="109">
        <f t="shared" si="105"/>
        <v>572000</v>
      </c>
      <c r="S31" s="109">
        <f t="shared" si="105"/>
        <v>1572000</v>
      </c>
      <c r="T31" s="109">
        <f t="shared" si="105"/>
        <v>572000</v>
      </c>
      <c r="U31" s="109">
        <f t="shared" si="105"/>
        <v>572000</v>
      </c>
      <c r="V31" s="109">
        <f t="shared" si="105"/>
        <v>572000</v>
      </c>
      <c r="W31" s="109">
        <f t="shared" si="105"/>
        <v>572000</v>
      </c>
      <c r="X31" s="109">
        <f t="shared" si="105"/>
        <v>572000</v>
      </c>
      <c r="Y31" s="109">
        <f t="shared" si="105"/>
        <v>572000</v>
      </c>
      <c r="Z31" s="109">
        <f t="shared" si="105"/>
        <v>572000</v>
      </c>
      <c r="AA31" s="109">
        <f t="shared" si="105"/>
        <v>572000</v>
      </c>
      <c r="AB31" s="109">
        <f>SUM(P31:AA31)</f>
        <v>7864000</v>
      </c>
      <c r="AC31" s="109">
        <f t="shared" ref="AC31:AN31" si="106">SUM(AC26:AC30)</f>
        <v>594880</v>
      </c>
      <c r="AD31" s="109">
        <f t="shared" si="106"/>
        <v>594880</v>
      </c>
      <c r="AE31" s="109">
        <f t="shared" si="106"/>
        <v>594880</v>
      </c>
      <c r="AF31" s="109">
        <f t="shared" si="106"/>
        <v>1794880</v>
      </c>
      <c r="AG31" s="109">
        <f t="shared" si="106"/>
        <v>594880</v>
      </c>
      <c r="AH31" s="109">
        <f t="shared" si="106"/>
        <v>594880</v>
      </c>
      <c r="AI31" s="109">
        <f t="shared" si="106"/>
        <v>594880</v>
      </c>
      <c r="AJ31" s="109">
        <f t="shared" si="106"/>
        <v>594880</v>
      </c>
      <c r="AK31" s="109">
        <f t="shared" si="106"/>
        <v>594880</v>
      </c>
      <c r="AL31" s="109">
        <f t="shared" si="106"/>
        <v>594880</v>
      </c>
      <c r="AM31" s="109">
        <f t="shared" si="106"/>
        <v>594880</v>
      </c>
      <c r="AN31" s="109">
        <f t="shared" si="106"/>
        <v>594880</v>
      </c>
      <c r="AO31" s="109">
        <f>SUM(AC31:AN31)</f>
        <v>8338560</v>
      </c>
      <c r="AP31" s="250">
        <f t="shared" ref="AP31:BA31" si="107">SUM(AP26:AP30)</f>
        <v>618676</v>
      </c>
      <c r="AQ31" s="109">
        <f t="shared" si="107"/>
        <v>618676</v>
      </c>
      <c r="AR31" s="109">
        <f t="shared" si="107"/>
        <v>618676</v>
      </c>
      <c r="AS31" s="109">
        <f t="shared" si="107"/>
        <v>1818676</v>
      </c>
      <c r="AT31" s="109">
        <f t="shared" si="107"/>
        <v>618676</v>
      </c>
      <c r="AU31" s="109">
        <f t="shared" si="107"/>
        <v>618676</v>
      </c>
      <c r="AV31" s="109">
        <f t="shared" si="107"/>
        <v>618676</v>
      </c>
      <c r="AW31" s="109">
        <f t="shared" si="107"/>
        <v>618676</v>
      </c>
      <c r="AX31" s="109">
        <f t="shared" si="107"/>
        <v>618676</v>
      </c>
      <c r="AY31" s="109">
        <f t="shared" si="107"/>
        <v>618676</v>
      </c>
      <c r="AZ31" s="109">
        <f t="shared" si="107"/>
        <v>618676</v>
      </c>
      <c r="BA31" s="109">
        <f t="shared" si="107"/>
        <v>618676</v>
      </c>
      <c r="BB31" s="109">
        <f>SUM(AP31:BA31)</f>
        <v>8624112</v>
      </c>
      <c r="BC31" s="250">
        <f t="shared" ref="BC31:BN31" si="108">SUM(BC26:BC30)</f>
        <v>643423</v>
      </c>
      <c r="BD31" s="109">
        <f t="shared" si="108"/>
        <v>643423</v>
      </c>
      <c r="BE31" s="109">
        <f t="shared" si="108"/>
        <v>643423</v>
      </c>
      <c r="BF31" s="109">
        <f t="shared" si="108"/>
        <v>1843423</v>
      </c>
      <c r="BG31" s="109">
        <f t="shared" si="108"/>
        <v>643423</v>
      </c>
      <c r="BH31" s="109">
        <f t="shared" si="108"/>
        <v>643423</v>
      </c>
      <c r="BI31" s="109">
        <f t="shared" si="108"/>
        <v>643423</v>
      </c>
      <c r="BJ31" s="109">
        <f t="shared" si="108"/>
        <v>643423</v>
      </c>
      <c r="BK31" s="109">
        <f t="shared" si="108"/>
        <v>643423</v>
      </c>
      <c r="BL31" s="109">
        <f t="shared" si="108"/>
        <v>643423</v>
      </c>
      <c r="BM31" s="109">
        <f t="shared" si="108"/>
        <v>643423</v>
      </c>
      <c r="BN31" s="109">
        <f t="shared" si="108"/>
        <v>643423</v>
      </c>
      <c r="BO31" s="110">
        <f>SUM(BC31:BN31)</f>
        <v>8921076</v>
      </c>
    </row>
    <row r="32" spans="1:69" ht="16.5" thickBot="1" x14ac:dyDescent="0.3">
      <c r="A32" s="396" t="s">
        <v>281</v>
      </c>
      <c r="B32" s="397"/>
      <c r="C32" s="311">
        <f t="shared" ref="C32:N32" si="109">+C12+C16+C19+C25+C31</f>
        <v>9750000</v>
      </c>
      <c r="D32" s="311">
        <f t="shared" si="109"/>
        <v>6500000</v>
      </c>
      <c r="E32" s="311">
        <f t="shared" si="109"/>
        <v>6500000</v>
      </c>
      <c r="F32" s="311">
        <f t="shared" si="109"/>
        <v>6500000</v>
      </c>
      <c r="G32" s="311">
        <f t="shared" si="109"/>
        <v>6500000</v>
      </c>
      <c r="H32" s="311">
        <f t="shared" si="109"/>
        <v>6500000</v>
      </c>
      <c r="I32" s="311">
        <f t="shared" si="109"/>
        <v>6800000</v>
      </c>
      <c r="J32" s="311">
        <f t="shared" si="109"/>
        <v>6800000</v>
      </c>
      <c r="K32" s="311">
        <f t="shared" si="109"/>
        <v>6800000</v>
      </c>
      <c r="L32" s="311">
        <f t="shared" si="109"/>
        <v>6800000</v>
      </c>
      <c r="M32" s="311">
        <f t="shared" si="109"/>
        <v>6800000</v>
      </c>
      <c r="N32" s="311">
        <f t="shared" si="109"/>
        <v>6800000</v>
      </c>
      <c r="O32" s="312">
        <f>SUM(C32:N32)</f>
        <v>83050000</v>
      </c>
      <c r="P32" s="312">
        <f t="shared" ref="P32:AA32" si="110">+P12+P16+P19+P25+P31</f>
        <v>7072000</v>
      </c>
      <c r="Q32" s="312">
        <f t="shared" si="110"/>
        <v>7072000</v>
      </c>
      <c r="R32" s="312">
        <f t="shared" si="110"/>
        <v>7072000</v>
      </c>
      <c r="S32" s="312">
        <f t="shared" si="110"/>
        <v>8072000</v>
      </c>
      <c r="T32" s="312">
        <f t="shared" si="110"/>
        <v>7072000</v>
      </c>
      <c r="U32" s="312">
        <f t="shared" si="110"/>
        <v>7072000</v>
      </c>
      <c r="V32" s="312">
        <f t="shared" si="110"/>
        <v>7384000</v>
      </c>
      <c r="W32" s="312">
        <f t="shared" si="110"/>
        <v>7384000</v>
      </c>
      <c r="X32" s="312">
        <f t="shared" si="110"/>
        <v>7384000</v>
      </c>
      <c r="Y32" s="312">
        <f t="shared" si="110"/>
        <v>7384000</v>
      </c>
      <c r="Z32" s="312">
        <f t="shared" si="110"/>
        <v>7384000</v>
      </c>
      <c r="AA32" s="312">
        <f t="shared" si="110"/>
        <v>7384000</v>
      </c>
      <c r="AB32" s="312">
        <f>SUM(P32:AA32)</f>
        <v>87736000</v>
      </c>
      <c r="AC32" s="312">
        <f t="shared" ref="AC32:AN32" si="111">+AC12+AC16+AC19+AC25+AC31</f>
        <v>7679360</v>
      </c>
      <c r="AD32" s="312">
        <f t="shared" si="111"/>
        <v>7679360</v>
      </c>
      <c r="AE32" s="312">
        <f t="shared" si="111"/>
        <v>7679360</v>
      </c>
      <c r="AF32" s="312">
        <f t="shared" si="111"/>
        <v>8879360</v>
      </c>
      <c r="AG32" s="312">
        <f t="shared" si="111"/>
        <v>7679360</v>
      </c>
      <c r="AH32" s="312">
        <f t="shared" si="111"/>
        <v>7679360</v>
      </c>
      <c r="AI32" s="312">
        <f t="shared" si="111"/>
        <v>7679360</v>
      </c>
      <c r="AJ32" s="312">
        <f t="shared" si="111"/>
        <v>7679360</v>
      </c>
      <c r="AK32" s="312">
        <f t="shared" si="111"/>
        <v>7679360</v>
      </c>
      <c r="AL32" s="312">
        <f t="shared" si="111"/>
        <v>7679360</v>
      </c>
      <c r="AM32" s="312">
        <f t="shared" si="111"/>
        <v>7679360</v>
      </c>
      <c r="AN32" s="312">
        <f t="shared" si="111"/>
        <v>7679360</v>
      </c>
      <c r="AO32" s="312">
        <f>SUM(AC32:AN32)</f>
        <v>93352320</v>
      </c>
      <c r="AP32" s="313">
        <f t="shared" ref="AP32:BA32" si="112">+AP12+AP16+AP19+AP25+AP31</f>
        <v>7986540</v>
      </c>
      <c r="AQ32" s="312">
        <f t="shared" si="112"/>
        <v>7986540</v>
      </c>
      <c r="AR32" s="312">
        <f t="shared" si="112"/>
        <v>7986540</v>
      </c>
      <c r="AS32" s="312">
        <f t="shared" si="112"/>
        <v>9186540</v>
      </c>
      <c r="AT32" s="312">
        <f t="shared" si="112"/>
        <v>7986540</v>
      </c>
      <c r="AU32" s="312">
        <f t="shared" si="112"/>
        <v>7986540</v>
      </c>
      <c r="AV32" s="312">
        <f t="shared" si="112"/>
        <v>7986540</v>
      </c>
      <c r="AW32" s="312">
        <f t="shared" si="112"/>
        <v>7986540</v>
      </c>
      <c r="AX32" s="312">
        <f t="shared" si="112"/>
        <v>7986540</v>
      </c>
      <c r="AY32" s="312">
        <f t="shared" si="112"/>
        <v>7986540</v>
      </c>
      <c r="AZ32" s="312">
        <f t="shared" si="112"/>
        <v>7986540</v>
      </c>
      <c r="BA32" s="312">
        <f t="shared" si="112"/>
        <v>7986540</v>
      </c>
      <c r="BB32" s="312">
        <f>SUM(AP32:BA32)</f>
        <v>97038480</v>
      </c>
      <c r="BC32" s="313">
        <f t="shared" ref="BC32:BN32" si="113">+BC12+BC16+BC19+BC25+BC31</f>
        <v>8306000</v>
      </c>
      <c r="BD32" s="312">
        <f t="shared" si="113"/>
        <v>8306000</v>
      </c>
      <c r="BE32" s="312">
        <f t="shared" si="113"/>
        <v>8306000</v>
      </c>
      <c r="BF32" s="312">
        <f t="shared" si="113"/>
        <v>9506000</v>
      </c>
      <c r="BG32" s="312">
        <f t="shared" si="113"/>
        <v>8306000</v>
      </c>
      <c r="BH32" s="312">
        <f t="shared" si="113"/>
        <v>8306000</v>
      </c>
      <c r="BI32" s="312">
        <f t="shared" si="113"/>
        <v>8306000</v>
      </c>
      <c r="BJ32" s="312">
        <f t="shared" si="113"/>
        <v>8306000</v>
      </c>
      <c r="BK32" s="312">
        <f t="shared" si="113"/>
        <v>8306000</v>
      </c>
      <c r="BL32" s="312">
        <f t="shared" si="113"/>
        <v>8306000</v>
      </c>
      <c r="BM32" s="312">
        <f t="shared" si="113"/>
        <v>8306000</v>
      </c>
      <c r="BN32" s="312">
        <f t="shared" si="113"/>
        <v>8306000</v>
      </c>
      <c r="BO32" s="314">
        <f>SUM(BC32:BN32)</f>
        <v>100872000</v>
      </c>
    </row>
    <row r="33" spans="1:69" x14ac:dyDescent="0.25">
      <c r="A33" s="49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Q33" s="315" t="s">
        <v>329</v>
      </c>
    </row>
    <row r="34" spans="1:69" x14ac:dyDescent="0.25">
      <c r="A34" s="49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</row>
    <row r="35" spans="1:69" x14ac:dyDescent="0.25">
      <c r="A35" s="4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</row>
    <row r="36" spans="1:69" x14ac:dyDescent="0.25">
      <c r="A36" s="4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</row>
    <row r="37" spans="1:69" x14ac:dyDescent="0.25">
      <c r="A37" s="49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</row>
    <row r="38" spans="1:69" x14ac:dyDescent="0.25">
      <c r="A38" s="49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</row>
    <row r="39" spans="1:69" x14ac:dyDescent="0.25">
      <c r="A39" s="4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</row>
    <row r="40" spans="1:69" x14ac:dyDescent="0.25">
      <c r="A40" s="4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</row>
    <row r="41" spans="1:69" x14ac:dyDescent="0.25">
      <c r="A41" s="4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</row>
    <row r="42" spans="1:69" x14ac:dyDescent="0.25">
      <c r="A42" s="4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</row>
    <row r="43" spans="1:69" x14ac:dyDescent="0.25">
      <c r="A43" s="49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</row>
    <row r="44" spans="1:69" x14ac:dyDescent="0.25">
      <c r="A44" s="49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</row>
    <row r="45" spans="1:69" x14ac:dyDescent="0.25">
      <c r="A45" s="49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</row>
    <row r="46" spans="1:69" x14ac:dyDescent="0.25">
      <c r="A46" s="49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</row>
    <row r="47" spans="1:69" x14ac:dyDescent="0.25">
      <c r="A47" s="49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</row>
    <row r="48" spans="1:69" x14ac:dyDescent="0.25">
      <c r="A48" s="4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</row>
    <row r="49" spans="1:67" x14ac:dyDescent="0.25">
      <c r="A49" s="4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</row>
    <row r="50" spans="1:67" x14ac:dyDescent="0.25">
      <c r="A50" s="49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</row>
    <row r="51" spans="1:67" x14ac:dyDescent="0.25">
      <c r="A51" s="4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</row>
    <row r="52" spans="1:67" x14ac:dyDescent="0.25">
      <c r="A52" s="4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</row>
    <row r="53" spans="1:67" x14ac:dyDescent="0.2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</row>
    <row r="54" spans="1:67" x14ac:dyDescent="0.2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</row>
    <row r="55" spans="1:67" x14ac:dyDescent="0.2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</row>
    <row r="56" spans="1:67" x14ac:dyDescent="0.2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</row>
    <row r="57" spans="1:67" x14ac:dyDescent="0.2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</row>
    <row r="58" spans="1:67" x14ac:dyDescent="0.2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</row>
    <row r="59" spans="1:67" x14ac:dyDescent="0.2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</row>
    <row r="60" spans="1:67" x14ac:dyDescent="0.2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</row>
    <row r="61" spans="1:67" x14ac:dyDescent="0.2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</row>
    <row r="62" spans="1:67" x14ac:dyDescent="0.2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</row>
    <row r="63" spans="1:67" x14ac:dyDescent="0.2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</row>
    <row r="64" spans="1:67" x14ac:dyDescent="0.2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</row>
    <row r="65" spans="3:67" x14ac:dyDescent="0.2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</row>
    <row r="66" spans="3:67" x14ac:dyDescent="0.2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</row>
    <row r="67" spans="3:67" x14ac:dyDescent="0.2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</row>
    <row r="68" spans="3:67" x14ac:dyDescent="0.2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</row>
    <row r="69" spans="3:67" x14ac:dyDescent="0.2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</row>
    <row r="70" spans="3:67" x14ac:dyDescent="0.2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</row>
    <row r="71" spans="3:67" x14ac:dyDescent="0.2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</row>
    <row r="72" spans="3:67" x14ac:dyDescent="0.2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</row>
    <row r="73" spans="3:67" x14ac:dyDescent="0.2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</row>
    <row r="74" spans="3:67" x14ac:dyDescent="0.25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</row>
    <row r="75" spans="3:67" x14ac:dyDescent="0.2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</row>
    <row r="76" spans="3:67" x14ac:dyDescent="0.2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</row>
    <row r="77" spans="3:67" x14ac:dyDescent="0.2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</row>
    <row r="78" spans="3:67" x14ac:dyDescent="0.2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</row>
    <row r="79" spans="3:67" x14ac:dyDescent="0.2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</row>
    <row r="80" spans="3:67" x14ac:dyDescent="0.2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</row>
    <row r="81" spans="3:67" x14ac:dyDescent="0.2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</row>
    <row r="82" spans="3:67" x14ac:dyDescent="0.2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</row>
    <row r="83" spans="3:67" x14ac:dyDescent="0.2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</row>
    <row r="84" spans="3:67" x14ac:dyDescent="0.2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</row>
    <row r="85" spans="3:67" x14ac:dyDescent="0.2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</row>
    <row r="86" spans="3:67" x14ac:dyDescent="0.25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</row>
    <row r="87" spans="3:67" x14ac:dyDescent="0.25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</row>
    <row r="88" spans="3:67" x14ac:dyDescent="0.25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</row>
    <row r="89" spans="3:67" x14ac:dyDescent="0.25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</row>
    <row r="90" spans="3:67" x14ac:dyDescent="0.25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</row>
    <row r="91" spans="3:67" x14ac:dyDescent="0.25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</row>
    <row r="92" spans="3:67" x14ac:dyDescent="0.2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</row>
    <row r="93" spans="3:67" x14ac:dyDescent="0.25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</row>
    <row r="94" spans="3:67" x14ac:dyDescent="0.25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</row>
    <row r="95" spans="3:67" x14ac:dyDescent="0.25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</row>
    <row r="96" spans="3:67" x14ac:dyDescent="0.25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</row>
    <row r="97" spans="3:67" x14ac:dyDescent="0.25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</row>
    <row r="98" spans="3:67" x14ac:dyDescent="0.25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</row>
    <row r="99" spans="3:67" x14ac:dyDescent="0.25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</row>
    <row r="100" spans="3:67" x14ac:dyDescent="0.25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</row>
    <row r="101" spans="3:67" x14ac:dyDescent="0.2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</row>
    <row r="102" spans="3:67" x14ac:dyDescent="0.2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</row>
    <row r="103" spans="3:67" x14ac:dyDescent="0.25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</row>
    <row r="104" spans="3:67" x14ac:dyDescent="0.25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</row>
    <row r="105" spans="3:67" x14ac:dyDescent="0.25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</row>
    <row r="106" spans="3:67" x14ac:dyDescent="0.25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</row>
    <row r="107" spans="3:67" x14ac:dyDescent="0.2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</row>
    <row r="108" spans="3:67" x14ac:dyDescent="0.25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</row>
    <row r="109" spans="3:67" x14ac:dyDescent="0.25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</row>
    <row r="110" spans="3:67" x14ac:dyDescent="0.25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</row>
    <row r="111" spans="3:67" x14ac:dyDescent="0.2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</row>
    <row r="112" spans="3:67" x14ac:dyDescent="0.2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</row>
    <row r="113" spans="3:67" x14ac:dyDescent="0.2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</row>
    <row r="114" spans="3:67" x14ac:dyDescent="0.25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</row>
    <row r="115" spans="3:67" x14ac:dyDescent="0.2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</row>
    <row r="116" spans="3:67" x14ac:dyDescent="0.25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</row>
    <row r="117" spans="3:67" x14ac:dyDescent="0.25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</row>
    <row r="118" spans="3:67" x14ac:dyDescent="0.25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</row>
    <row r="119" spans="3:67" x14ac:dyDescent="0.2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</row>
    <row r="120" spans="3:67" x14ac:dyDescent="0.2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</row>
    <row r="121" spans="3:67" x14ac:dyDescent="0.25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</row>
    <row r="122" spans="3:67" x14ac:dyDescent="0.25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</row>
    <row r="123" spans="3:67" x14ac:dyDescent="0.2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</row>
    <row r="124" spans="3:67" x14ac:dyDescent="0.2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</row>
    <row r="125" spans="3:67" x14ac:dyDescent="0.25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</row>
    <row r="126" spans="3:67" x14ac:dyDescent="0.25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</row>
    <row r="127" spans="3:67" x14ac:dyDescent="0.2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</row>
    <row r="128" spans="3:67" x14ac:dyDescent="0.2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</row>
    <row r="129" spans="3:67" x14ac:dyDescent="0.25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</row>
    <row r="130" spans="3:67" x14ac:dyDescent="0.2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</row>
    <row r="131" spans="3:67" x14ac:dyDescent="0.2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</row>
    <row r="132" spans="3:67" x14ac:dyDescent="0.2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</row>
    <row r="133" spans="3:67" x14ac:dyDescent="0.25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</row>
    <row r="134" spans="3:67" x14ac:dyDescent="0.25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</row>
    <row r="135" spans="3:67" x14ac:dyDescent="0.25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</row>
    <row r="136" spans="3:67" x14ac:dyDescent="0.25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</row>
    <row r="137" spans="3:67" x14ac:dyDescent="0.25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</row>
    <row r="138" spans="3:67" x14ac:dyDescent="0.2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</row>
    <row r="139" spans="3:67" x14ac:dyDescent="0.25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</row>
    <row r="140" spans="3:67" x14ac:dyDescent="0.25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</row>
    <row r="141" spans="3:67" x14ac:dyDescent="0.25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</row>
    <row r="142" spans="3:67" x14ac:dyDescent="0.2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</row>
    <row r="143" spans="3:67" x14ac:dyDescent="0.25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</row>
    <row r="144" spans="3:67" x14ac:dyDescent="0.2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</row>
    <row r="145" spans="3:67" x14ac:dyDescent="0.25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</row>
    <row r="146" spans="3:67" x14ac:dyDescent="0.25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</row>
    <row r="147" spans="3:67" x14ac:dyDescent="0.25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</row>
    <row r="148" spans="3:67" x14ac:dyDescent="0.25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</row>
    <row r="149" spans="3:67" x14ac:dyDescent="0.25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</row>
    <row r="150" spans="3:67" x14ac:dyDescent="0.25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</row>
    <row r="151" spans="3:67" x14ac:dyDescent="0.25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</row>
    <row r="152" spans="3:67" x14ac:dyDescent="0.25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</row>
    <row r="153" spans="3:67" x14ac:dyDescent="0.25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</row>
    <row r="154" spans="3:67" x14ac:dyDescent="0.25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</row>
    <row r="155" spans="3:67" x14ac:dyDescent="0.25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</row>
    <row r="156" spans="3:67" x14ac:dyDescent="0.25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</row>
    <row r="157" spans="3:67" x14ac:dyDescent="0.2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</row>
    <row r="158" spans="3:67" x14ac:dyDescent="0.2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</row>
    <row r="159" spans="3:67" x14ac:dyDescent="0.2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</row>
    <row r="160" spans="3:67" x14ac:dyDescent="0.2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</row>
    <row r="161" spans="3:67" x14ac:dyDescent="0.2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</row>
    <row r="162" spans="3:67" x14ac:dyDescent="0.25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</row>
    <row r="163" spans="3:67" x14ac:dyDescent="0.2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</row>
    <row r="164" spans="3:67" x14ac:dyDescent="0.2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</row>
    <row r="165" spans="3:67" x14ac:dyDescent="0.2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</row>
    <row r="166" spans="3:67" x14ac:dyDescent="0.2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</row>
    <row r="167" spans="3:67" x14ac:dyDescent="0.2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</row>
    <row r="168" spans="3:67" x14ac:dyDescent="0.2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</row>
    <row r="169" spans="3:67" x14ac:dyDescent="0.2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</row>
    <row r="170" spans="3:67" x14ac:dyDescent="0.2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</row>
    <row r="171" spans="3:67" x14ac:dyDescent="0.2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</row>
    <row r="172" spans="3:67" x14ac:dyDescent="0.2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</row>
    <row r="173" spans="3:67" x14ac:dyDescent="0.2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</row>
    <row r="174" spans="3:67" x14ac:dyDescent="0.2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</row>
    <row r="175" spans="3:67" x14ac:dyDescent="0.2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</row>
    <row r="176" spans="3:67" x14ac:dyDescent="0.2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</row>
    <row r="177" spans="3:67" x14ac:dyDescent="0.2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</row>
    <row r="178" spans="3:67" x14ac:dyDescent="0.2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</row>
    <row r="179" spans="3:67" x14ac:dyDescent="0.2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</row>
    <row r="180" spans="3:67" x14ac:dyDescent="0.2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</row>
    <row r="181" spans="3:67" x14ac:dyDescent="0.2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</row>
    <row r="182" spans="3:67" x14ac:dyDescent="0.2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</row>
    <row r="183" spans="3:67" x14ac:dyDescent="0.2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</row>
    <row r="184" spans="3:67" x14ac:dyDescent="0.2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</row>
    <row r="185" spans="3:67" x14ac:dyDescent="0.2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</row>
    <row r="186" spans="3:67" x14ac:dyDescent="0.2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</row>
    <row r="187" spans="3:67" x14ac:dyDescent="0.2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</row>
    <row r="188" spans="3:67" x14ac:dyDescent="0.2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</row>
    <row r="189" spans="3:67" x14ac:dyDescent="0.2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</row>
    <row r="190" spans="3:67" x14ac:dyDescent="0.2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</row>
    <row r="191" spans="3:67" x14ac:dyDescent="0.2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</row>
    <row r="192" spans="3:67" x14ac:dyDescent="0.2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</row>
    <row r="193" spans="3:67" x14ac:dyDescent="0.2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</row>
    <row r="194" spans="3:67" x14ac:dyDescent="0.2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</row>
    <row r="195" spans="3:67" x14ac:dyDescent="0.2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</row>
    <row r="196" spans="3:67" x14ac:dyDescent="0.2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</row>
    <row r="197" spans="3:67" x14ac:dyDescent="0.2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</row>
    <row r="198" spans="3:67" x14ac:dyDescent="0.2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</row>
    <row r="199" spans="3:67" x14ac:dyDescent="0.2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</row>
    <row r="200" spans="3:67" x14ac:dyDescent="0.2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</row>
    <row r="201" spans="3:67" x14ac:dyDescent="0.2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</row>
    <row r="202" spans="3:67" x14ac:dyDescent="0.2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</row>
    <row r="203" spans="3:67" x14ac:dyDescent="0.2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</row>
    <row r="204" spans="3:67" x14ac:dyDescent="0.2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</row>
    <row r="205" spans="3:67" x14ac:dyDescent="0.2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</row>
    <row r="206" spans="3:67" x14ac:dyDescent="0.2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</row>
    <row r="207" spans="3:67" x14ac:dyDescent="0.2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</row>
    <row r="208" spans="3:67" x14ac:dyDescent="0.2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</row>
    <row r="209" spans="3:67" x14ac:dyDescent="0.2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</row>
    <row r="210" spans="3:67" x14ac:dyDescent="0.2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</row>
    <row r="211" spans="3:67" x14ac:dyDescent="0.2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</row>
    <row r="212" spans="3:67" x14ac:dyDescent="0.2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</row>
    <row r="213" spans="3:67" x14ac:dyDescent="0.2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</row>
    <row r="214" spans="3:67" x14ac:dyDescent="0.2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</row>
    <row r="215" spans="3:67" x14ac:dyDescent="0.2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</row>
    <row r="216" spans="3:67" x14ac:dyDescent="0.2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</row>
    <row r="217" spans="3:67" x14ac:dyDescent="0.2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</row>
    <row r="218" spans="3:67" x14ac:dyDescent="0.2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</row>
    <row r="219" spans="3:67" x14ac:dyDescent="0.2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</row>
    <row r="220" spans="3:67" x14ac:dyDescent="0.2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</row>
    <row r="221" spans="3:67" x14ac:dyDescent="0.2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</row>
    <row r="222" spans="3:67" x14ac:dyDescent="0.2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</row>
    <row r="223" spans="3:67" x14ac:dyDescent="0.2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</row>
    <row r="224" spans="3:67" x14ac:dyDescent="0.2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</row>
    <row r="225" spans="3:67" x14ac:dyDescent="0.2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</row>
    <row r="226" spans="3:67" x14ac:dyDescent="0.2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</row>
    <row r="227" spans="3:67" x14ac:dyDescent="0.2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</row>
    <row r="228" spans="3:67" x14ac:dyDescent="0.2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</row>
    <row r="229" spans="3:67" x14ac:dyDescent="0.2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</row>
    <row r="230" spans="3:67" x14ac:dyDescent="0.2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</row>
    <row r="231" spans="3:67" x14ac:dyDescent="0.2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</row>
    <row r="232" spans="3:67" x14ac:dyDescent="0.2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</row>
    <row r="233" spans="3:67" x14ac:dyDescent="0.2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</row>
    <row r="234" spans="3:67" x14ac:dyDescent="0.2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</row>
    <row r="235" spans="3:67" x14ac:dyDescent="0.2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</row>
    <row r="236" spans="3:67" x14ac:dyDescent="0.2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</row>
    <row r="237" spans="3:67" x14ac:dyDescent="0.2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</row>
    <row r="238" spans="3:67" x14ac:dyDescent="0.2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</row>
    <row r="239" spans="3:67" x14ac:dyDescent="0.2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</row>
    <row r="240" spans="3:67" x14ac:dyDescent="0.2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</row>
    <row r="241" spans="3:67" x14ac:dyDescent="0.2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</row>
    <row r="242" spans="3:67" x14ac:dyDescent="0.2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</row>
    <row r="243" spans="3:67" x14ac:dyDescent="0.2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</row>
    <row r="244" spans="3:67" x14ac:dyDescent="0.2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</row>
    <row r="245" spans="3:67" x14ac:dyDescent="0.2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</row>
    <row r="246" spans="3:67" x14ac:dyDescent="0.2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</row>
    <row r="247" spans="3:67" x14ac:dyDescent="0.2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</row>
    <row r="248" spans="3:67" x14ac:dyDescent="0.2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</row>
    <row r="249" spans="3:67" x14ac:dyDescent="0.2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</row>
    <row r="250" spans="3:67" x14ac:dyDescent="0.2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</row>
    <row r="251" spans="3:67" x14ac:dyDescent="0.2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</row>
    <row r="252" spans="3:67" x14ac:dyDescent="0.2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</row>
    <row r="253" spans="3:67" x14ac:dyDescent="0.2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</row>
    <row r="254" spans="3:67" x14ac:dyDescent="0.2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</row>
    <row r="255" spans="3:67" x14ac:dyDescent="0.2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</row>
    <row r="256" spans="3:67" x14ac:dyDescent="0.2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</row>
    <row r="257" spans="3:67" x14ac:dyDescent="0.2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</row>
    <row r="258" spans="3:67" x14ac:dyDescent="0.2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</row>
    <row r="259" spans="3:67" x14ac:dyDescent="0.2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</row>
    <row r="260" spans="3:67" x14ac:dyDescent="0.2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</row>
    <row r="261" spans="3:67" x14ac:dyDescent="0.2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</row>
    <row r="262" spans="3:67" x14ac:dyDescent="0.2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</row>
    <row r="263" spans="3:67" x14ac:dyDescent="0.2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</row>
    <row r="264" spans="3:67" x14ac:dyDescent="0.2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</row>
    <row r="265" spans="3:67" x14ac:dyDescent="0.2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</row>
    <row r="266" spans="3:67" x14ac:dyDescent="0.2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</row>
    <row r="267" spans="3:67" x14ac:dyDescent="0.2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</row>
    <row r="268" spans="3:67" x14ac:dyDescent="0.2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</row>
    <row r="269" spans="3:67" x14ac:dyDescent="0.2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</row>
    <row r="270" spans="3:67" x14ac:dyDescent="0.2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</row>
    <row r="271" spans="3:67" x14ac:dyDescent="0.2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</row>
    <row r="272" spans="3:67" x14ac:dyDescent="0.2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</row>
    <row r="273" spans="3:67" x14ac:dyDescent="0.2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</row>
    <row r="274" spans="3:67" x14ac:dyDescent="0.2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</row>
    <row r="275" spans="3:67" x14ac:dyDescent="0.2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</row>
    <row r="276" spans="3:67" x14ac:dyDescent="0.2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</row>
    <row r="277" spans="3:67" x14ac:dyDescent="0.2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</row>
    <row r="278" spans="3:67" x14ac:dyDescent="0.2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</row>
    <row r="279" spans="3:67" x14ac:dyDescent="0.2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</row>
    <row r="280" spans="3:67" x14ac:dyDescent="0.2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</row>
    <row r="281" spans="3:67" x14ac:dyDescent="0.2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</row>
    <row r="282" spans="3:67" x14ac:dyDescent="0.2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</row>
    <row r="283" spans="3:67" x14ac:dyDescent="0.2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</row>
    <row r="284" spans="3:67" x14ac:dyDescent="0.2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</row>
    <row r="285" spans="3:67" x14ac:dyDescent="0.2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</row>
    <row r="286" spans="3:67" x14ac:dyDescent="0.2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</row>
    <row r="287" spans="3:67" x14ac:dyDescent="0.2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</row>
    <row r="288" spans="3:67" x14ac:dyDescent="0.2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</row>
    <row r="289" spans="3:67" x14ac:dyDescent="0.2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</row>
    <row r="290" spans="3:67" x14ac:dyDescent="0.2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</row>
    <row r="291" spans="3:67" x14ac:dyDescent="0.2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</row>
    <row r="292" spans="3:67" x14ac:dyDescent="0.2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</row>
    <row r="293" spans="3:67" x14ac:dyDescent="0.2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</row>
    <row r="294" spans="3:67" x14ac:dyDescent="0.2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</row>
    <row r="295" spans="3:67" x14ac:dyDescent="0.2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</row>
    <row r="296" spans="3:67" x14ac:dyDescent="0.2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</row>
    <row r="297" spans="3:67" x14ac:dyDescent="0.2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</row>
    <row r="298" spans="3:67" x14ac:dyDescent="0.2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</row>
    <row r="299" spans="3:67" x14ac:dyDescent="0.2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</row>
    <row r="300" spans="3:67" x14ac:dyDescent="0.2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</row>
    <row r="301" spans="3:67" x14ac:dyDescent="0.2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</row>
    <row r="302" spans="3:67" x14ac:dyDescent="0.2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</row>
    <row r="303" spans="3:67" x14ac:dyDescent="0.2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</row>
    <row r="304" spans="3:67" x14ac:dyDescent="0.2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</row>
    <row r="305" spans="3:67" x14ac:dyDescent="0.2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</row>
    <row r="306" spans="3:67" x14ac:dyDescent="0.2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</row>
    <row r="307" spans="3:67" x14ac:dyDescent="0.2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</row>
    <row r="308" spans="3:67" x14ac:dyDescent="0.2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</row>
    <row r="309" spans="3:67" x14ac:dyDescent="0.2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</row>
    <row r="310" spans="3:67" x14ac:dyDescent="0.2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</row>
    <row r="311" spans="3:67" x14ac:dyDescent="0.2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</row>
    <row r="312" spans="3:67" x14ac:dyDescent="0.2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</row>
    <row r="313" spans="3:67" x14ac:dyDescent="0.2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</row>
    <row r="314" spans="3:67" x14ac:dyDescent="0.2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</row>
    <row r="315" spans="3:67" x14ac:dyDescent="0.2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</row>
  </sheetData>
  <mergeCells count="9">
    <mergeCell ref="A2:BO2"/>
    <mergeCell ref="A32:B32"/>
    <mergeCell ref="A17:A19"/>
    <mergeCell ref="A20:A25"/>
    <mergeCell ref="A26:A31"/>
    <mergeCell ref="A5:A6"/>
    <mergeCell ref="A7:A9"/>
    <mergeCell ref="A13:A16"/>
    <mergeCell ref="A10:A12"/>
  </mergeCells>
  <hyperlinks>
    <hyperlink ref="BQ33" r:id="rId1"/>
  </hyperlink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130"/>
  <sheetViews>
    <sheetView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M9" sqref="M9"/>
    </sheetView>
  </sheetViews>
  <sheetFormatPr baseColWidth="10" defaultColWidth="9.140625" defaultRowHeight="15" x14ac:dyDescent="0.25"/>
  <cols>
    <col min="1" max="1" width="4" bestFit="1" customWidth="1"/>
    <col min="2" max="2" width="17.140625" bestFit="1" customWidth="1"/>
    <col min="3" max="3" width="14.42578125" bestFit="1" customWidth="1"/>
    <col min="4" max="4" width="12.85546875" bestFit="1" customWidth="1"/>
    <col min="5" max="5" width="13.140625" bestFit="1" customWidth="1"/>
    <col min="7" max="7" width="17.140625" bestFit="1" customWidth="1"/>
    <col min="8" max="8" width="14.42578125" bestFit="1" customWidth="1"/>
    <col min="9" max="9" width="12.85546875" bestFit="1" customWidth="1"/>
    <col min="10" max="10" width="13.140625" bestFit="1" customWidth="1"/>
    <col min="12" max="12" width="17.140625" bestFit="1" customWidth="1"/>
    <col min="13" max="13" width="14.42578125" bestFit="1" customWidth="1"/>
    <col min="14" max="14" width="12.85546875" bestFit="1" customWidth="1"/>
    <col min="15" max="15" width="13.140625" bestFit="1" customWidth="1"/>
    <col min="17" max="17" width="17.140625" bestFit="1" customWidth="1"/>
    <col min="18" max="18" width="14.42578125" bestFit="1" customWidth="1"/>
    <col min="19" max="19" width="12.85546875" bestFit="1" customWidth="1"/>
    <col min="20" max="20" width="12.5703125" bestFit="1" customWidth="1"/>
    <col min="22" max="22" width="12.140625" bestFit="1" customWidth="1"/>
    <col min="23" max="23" width="14.42578125" bestFit="1" customWidth="1"/>
    <col min="24" max="24" width="12.85546875" bestFit="1" customWidth="1"/>
    <col min="25" max="26" width="13.140625" bestFit="1" customWidth="1"/>
  </cols>
  <sheetData>
    <row r="6" spans="1:25" x14ac:dyDescent="0.25">
      <c r="B6" t="s">
        <v>182</v>
      </c>
      <c r="C6" s="24">
        <f>'VEHICULOS '!D5*'INGRESOS '!G5</f>
        <v>150000000</v>
      </c>
      <c r="G6" t="s">
        <v>182</v>
      </c>
      <c r="H6" s="24">
        <f>'VEHICULOS '!D5*'INGRESOS '!G5</f>
        <v>150000000</v>
      </c>
      <c r="L6" t="s">
        <v>182</v>
      </c>
      <c r="M6" s="24">
        <f>'VEHICULOS '!D5*'INGRESOS '!G5</f>
        <v>150000000</v>
      </c>
      <c r="Q6" t="s">
        <v>245</v>
      </c>
      <c r="R6" s="24">
        <v>0</v>
      </c>
    </row>
    <row r="7" spans="1:25" x14ac:dyDescent="0.25">
      <c r="B7" s="42" t="s">
        <v>183</v>
      </c>
      <c r="C7" s="24">
        <f>+C6*0.1</f>
        <v>15000000</v>
      </c>
      <c r="G7" s="42" t="s">
        <v>183</v>
      </c>
      <c r="H7" s="24">
        <f>+H6*0.1</f>
        <v>15000000</v>
      </c>
      <c r="L7" s="42" t="s">
        <v>183</v>
      </c>
      <c r="M7" s="24">
        <f>+M6*0.2</f>
        <v>30000000</v>
      </c>
      <c r="Q7" s="42"/>
      <c r="R7" s="24"/>
    </row>
    <row r="8" spans="1:25" x14ac:dyDescent="0.25">
      <c r="B8" t="s">
        <v>184</v>
      </c>
      <c r="C8" s="24">
        <f>+C6-C7</f>
        <v>135000000</v>
      </c>
      <c r="G8" t="s">
        <v>184</v>
      </c>
      <c r="H8" s="24">
        <f>+H6-H7</f>
        <v>135000000</v>
      </c>
      <c r="L8" t="s">
        <v>184</v>
      </c>
      <c r="M8" s="24">
        <f>+M6-M7</f>
        <v>120000000</v>
      </c>
      <c r="Q8" t="s">
        <v>184</v>
      </c>
      <c r="R8" s="24">
        <f>+R6-R7</f>
        <v>0</v>
      </c>
    </row>
    <row r="9" spans="1:25" x14ac:dyDescent="0.25">
      <c r="B9" t="s">
        <v>189</v>
      </c>
      <c r="C9" s="48">
        <v>1.2</v>
      </c>
      <c r="G9" t="s">
        <v>189</v>
      </c>
      <c r="H9" s="48">
        <v>1.2</v>
      </c>
      <c r="L9" t="s">
        <v>189</v>
      </c>
      <c r="M9" s="48">
        <v>1.2</v>
      </c>
      <c r="Q9" t="s">
        <v>189</v>
      </c>
      <c r="R9" s="48">
        <v>1.6</v>
      </c>
    </row>
    <row r="10" spans="1:25" x14ac:dyDescent="0.25">
      <c r="B10" t="s">
        <v>190</v>
      </c>
      <c r="C10" s="48">
        <v>36</v>
      </c>
      <c r="G10" t="s">
        <v>190</v>
      </c>
      <c r="H10" s="48">
        <v>24</v>
      </c>
      <c r="L10" t="s">
        <v>190</v>
      </c>
      <c r="M10" s="48">
        <v>12</v>
      </c>
      <c r="Q10" t="s">
        <v>190</v>
      </c>
      <c r="R10" s="48">
        <v>60</v>
      </c>
    </row>
    <row r="11" spans="1:25" x14ac:dyDescent="0.25">
      <c r="C11" s="48"/>
    </row>
    <row r="12" spans="1:25" x14ac:dyDescent="0.25">
      <c r="V12" s="26" t="s">
        <v>191</v>
      </c>
    </row>
    <row r="13" spans="1:25" x14ac:dyDescent="0.25">
      <c r="B13" s="25" t="s">
        <v>185</v>
      </c>
      <c r="C13" s="25" t="s">
        <v>186</v>
      </c>
      <c r="D13" s="25" t="s">
        <v>187</v>
      </c>
      <c r="E13" s="25" t="s">
        <v>188</v>
      </c>
      <c r="F13" s="25"/>
      <c r="G13" s="25" t="s">
        <v>185</v>
      </c>
      <c r="H13" s="25" t="s">
        <v>186</v>
      </c>
      <c r="I13" s="25" t="s">
        <v>187</v>
      </c>
      <c r="J13" s="25" t="s">
        <v>188</v>
      </c>
      <c r="L13" s="25" t="s">
        <v>185</v>
      </c>
      <c r="M13" s="25" t="s">
        <v>186</v>
      </c>
      <c r="N13" s="25" t="s">
        <v>187</v>
      </c>
      <c r="O13" s="25" t="s">
        <v>188</v>
      </c>
      <c r="Q13" s="25" t="s">
        <v>185</v>
      </c>
      <c r="R13" s="25" t="s">
        <v>186</v>
      </c>
      <c r="S13" s="25" t="s">
        <v>187</v>
      </c>
      <c r="T13" s="25" t="s">
        <v>188</v>
      </c>
      <c r="V13" s="25" t="s">
        <v>185</v>
      </c>
      <c r="W13" s="25" t="s">
        <v>186</v>
      </c>
      <c r="X13" s="25" t="s">
        <v>187</v>
      </c>
      <c r="Y13" s="25" t="s">
        <v>188</v>
      </c>
    </row>
    <row r="14" spans="1:25" x14ac:dyDescent="0.25">
      <c r="A14">
        <v>1</v>
      </c>
      <c r="B14" s="24"/>
      <c r="C14" s="24"/>
      <c r="D14" s="24"/>
      <c r="E14" s="24">
        <f>+C8</f>
        <v>135000000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>
        <f>+E14+J14+O14</f>
        <v>135000000</v>
      </c>
    </row>
    <row r="15" spans="1:25" x14ac:dyDescent="0.25">
      <c r="A15">
        <f>+A14+1</f>
        <v>2</v>
      </c>
      <c r="B15" s="24">
        <f>IF($A15-1&gt;C$10,0,ROUND(PMT(C$9%,C$10,-C$8),0))</f>
        <v>4640251</v>
      </c>
      <c r="C15" s="24">
        <f>ROUND(+E14*$C$9%,0)</f>
        <v>1620000</v>
      </c>
      <c r="D15" s="24">
        <f>+B15-C15</f>
        <v>3020251</v>
      </c>
      <c r="E15" s="24">
        <f>+E14-D15</f>
        <v>131979749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>
        <f>+B15+G15+L15+Q15</f>
        <v>4640251</v>
      </c>
      <c r="W15" s="24">
        <f>+C15+H15+M15+R15</f>
        <v>1620000</v>
      </c>
      <c r="X15" s="24">
        <f>+D15+I15+N15+S15</f>
        <v>3020251</v>
      </c>
      <c r="Y15" s="24">
        <f>+E15+J15+O15+T15</f>
        <v>131979749</v>
      </c>
    </row>
    <row r="16" spans="1:25" x14ac:dyDescent="0.25">
      <c r="A16">
        <f t="shared" ref="A16:A68" si="0">+A15+1</f>
        <v>3</v>
      </c>
      <c r="B16" s="24">
        <f t="shared" ref="B16:B49" si="1">IF($A16-1&gt;C$10,0,ROUND(PMT(C$9%,C$10,-C$8),0))</f>
        <v>4640251</v>
      </c>
      <c r="C16" s="24">
        <f t="shared" ref="C16:C50" si="2">ROUND(+E15*$C$9%,0)</f>
        <v>1583757</v>
      </c>
      <c r="D16" s="24">
        <f t="shared" ref="D16:D50" si="3">+B16-C16</f>
        <v>3056494</v>
      </c>
      <c r="E16" s="24">
        <f t="shared" ref="E16:E50" si="4">+E15-D16</f>
        <v>128923255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>
        <f t="shared" ref="V16:V79" si="5">+B16+G16+L16+Q16</f>
        <v>4640251</v>
      </c>
      <c r="W16" s="24">
        <f t="shared" ref="W16:W79" si="6">+C16+H16+M16+R16</f>
        <v>1583757</v>
      </c>
      <c r="X16" s="24">
        <f t="shared" ref="X16:X79" si="7">+D16+I16+N16+S16</f>
        <v>3056494</v>
      </c>
      <c r="Y16" s="24">
        <f t="shared" ref="Y16:Y79" si="8">+E16+J16+O16+T16</f>
        <v>128923255</v>
      </c>
    </row>
    <row r="17" spans="1:26" x14ac:dyDescent="0.25">
      <c r="A17">
        <f t="shared" si="0"/>
        <v>4</v>
      </c>
      <c r="B17" s="24">
        <f t="shared" si="1"/>
        <v>4640251</v>
      </c>
      <c r="C17" s="24">
        <f t="shared" si="2"/>
        <v>1547079</v>
      </c>
      <c r="D17" s="24">
        <f t="shared" si="3"/>
        <v>3093172</v>
      </c>
      <c r="E17" s="24">
        <f t="shared" si="4"/>
        <v>125830083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>
        <f t="shared" si="5"/>
        <v>4640251</v>
      </c>
      <c r="W17" s="24">
        <f t="shared" si="6"/>
        <v>1547079</v>
      </c>
      <c r="X17" s="24">
        <f t="shared" si="7"/>
        <v>3093172</v>
      </c>
      <c r="Y17" s="24">
        <f t="shared" si="8"/>
        <v>125830083</v>
      </c>
    </row>
    <row r="18" spans="1:26" x14ac:dyDescent="0.25">
      <c r="A18">
        <f t="shared" si="0"/>
        <v>5</v>
      </c>
      <c r="B18" s="24">
        <f t="shared" si="1"/>
        <v>4640251</v>
      </c>
      <c r="C18" s="24">
        <f t="shared" si="2"/>
        <v>1509961</v>
      </c>
      <c r="D18" s="24">
        <f t="shared" si="3"/>
        <v>3130290</v>
      </c>
      <c r="E18" s="24">
        <f t="shared" si="4"/>
        <v>122699793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>
        <f t="shared" si="5"/>
        <v>4640251</v>
      </c>
      <c r="W18" s="24">
        <f t="shared" si="6"/>
        <v>1509961</v>
      </c>
      <c r="X18" s="24">
        <f t="shared" si="7"/>
        <v>3130290</v>
      </c>
      <c r="Y18" s="24">
        <f t="shared" si="8"/>
        <v>122699793</v>
      </c>
    </row>
    <row r="19" spans="1:26" x14ac:dyDescent="0.25">
      <c r="A19">
        <f t="shared" si="0"/>
        <v>6</v>
      </c>
      <c r="B19" s="24">
        <f t="shared" si="1"/>
        <v>4640251</v>
      </c>
      <c r="C19" s="24">
        <f t="shared" si="2"/>
        <v>1472398</v>
      </c>
      <c r="D19" s="24">
        <f t="shared" si="3"/>
        <v>3167853</v>
      </c>
      <c r="E19" s="24">
        <f t="shared" si="4"/>
        <v>119531940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>
        <f>+R8</f>
        <v>0</v>
      </c>
      <c r="U19" s="24"/>
      <c r="V19" s="24">
        <f t="shared" si="5"/>
        <v>4640251</v>
      </c>
      <c r="W19" s="24">
        <f t="shared" si="6"/>
        <v>1472398</v>
      </c>
      <c r="X19" s="24">
        <f t="shared" si="7"/>
        <v>3167853</v>
      </c>
      <c r="Y19" s="24">
        <f t="shared" si="8"/>
        <v>119531940</v>
      </c>
    </row>
    <row r="20" spans="1:26" x14ac:dyDescent="0.25">
      <c r="A20">
        <f t="shared" si="0"/>
        <v>7</v>
      </c>
      <c r="B20" s="24">
        <f t="shared" si="1"/>
        <v>4640251</v>
      </c>
      <c r="C20" s="24">
        <f t="shared" si="2"/>
        <v>1434383</v>
      </c>
      <c r="D20" s="24">
        <f t="shared" si="3"/>
        <v>3205868</v>
      </c>
      <c r="E20" s="24">
        <f t="shared" si="4"/>
        <v>116326072</v>
      </c>
      <c r="F20" s="24"/>
      <c r="G20" s="24"/>
      <c r="H20" s="24"/>
      <c r="I20" s="24"/>
      <c r="J20" s="24">
        <f>+H8</f>
        <v>135000000</v>
      </c>
      <c r="K20" s="24"/>
      <c r="L20" s="24"/>
      <c r="M20" s="24"/>
      <c r="N20" s="24"/>
      <c r="O20" s="24"/>
      <c r="P20" s="24"/>
      <c r="Q20" s="24">
        <f>ROUND(PMT($R$9%,$R$10,-$R$8),0)</f>
        <v>0</v>
      </c>
      <c r="R20" s="24">
        <f>ROUND(T19*$R$9%,0)</f>
        <v>0</v>
      </c>
      <c r="S20" s="24">
        <f t="shared" ref="S20:S55" si="9">+Q20-R20</f>
        <v>0</v>
      </c>
      <c r="T20" s="24">
        <f t="shared" ref="T20:T55" si="10">+T19-S20</f>
        <v>0</v>
      </c>
      <c r="U20" s="24"/>
      <c r="V20" s="24">
        <f t="shared" si="5"/>
        <v>4640251</v>
      </c>
      <c r="W20" s="24">
        <f t="shared" si="6"/>
        <v>1434383</v>
      </c>
      <c r="X20" s="24">
        <f t="shared" si="7"/>
        <v>3205868</v>
      </c>
      <c r="Y20" s="24">
        <f t="shared" si="8"/>
        <v>251326072</v>
      </c>
    </row>
    <row r="21" spans="1:26" x14ac:dyDescent="0.25">
      <c r="A21">
        <f t="shared" si="0"/>
        <v>8</v>
      </c>
      <c r="B21" s="24">
        <f t="shared" si="1"/>
        <v>4640251</v>
      </c>
      <c r="C21" s="24">
        <f t="shared" si="2"/>
        <v>1395913</v>
      </c>
      <c r="D21" s="24">
        <f t="shared" si="3"/>
        <v>3244338</v>
      </c>
      <c r="E21" s="24">
        <f t="shared" si="4"/>
        <v>113081734</v>
      </c>
      <c r="F21" s="24"/>
      <c r="G21" s="24">
        <f>IF($A21-1&gt;H$10+6,0,ROUND(PMT(H$9%,H$10,-H$8),0))</f>
        <v>6507279</v>
      </c>
      <c r="H21" s="24">
        <f>ROUND(J20*H$9%,0)</f>
        <v>1620000</v>
      </c>
      <c r="I21" s="24">
        <f t="shared" ref="I21:I62" si="11">+G21-H21</f>
        <v>4887279</v>
      </c>
      <c r="J21" s="24">
        <f t="shared" ref="J21:J62" si="12">+J20-I21</f>
        <v>130112721</v>
      </c>
      <c r="K21" s="24"/>
      <c r="L21" s="24"/>
      <c r="M21" s="24"/>
      <c r="N21" s="24"/>
      <c r="O21" s="24"/>
      <c r="P21" s="24"/>
      <c r="Q21" s="24">
        <f t="shared" ref="Q21:Q79" si="13">ROUND(PMT($R$9%,$R$10,-$R$8),0)</f>
        <v>0</v>
      </c>
      <c r="R21" s="24">
        <f t="shared" ref="R21:R55" si="14">ROUND(T20*$R$9%,0)</f>
        <v>0</v>
      </c>
      <c r="S21" s="24">
        <f t="shared" si="9"/>
        <v>0</v>
      </c>
      <c r="T21" s="24">
        <f t="shared" si="10"/>
        <v>0</v>
      </c>
      <c r="U21" s="24"/>
      <c r="V21" s="24">
        <f t="shared" si="5"/>
        <v>11147530</v>
      </c>
      <c r="W21" s="24">
        <f t="shared" si="6"/>
        <v>3015913</v>
      </c>
      <c r="X21" s="24">
        <f t="shared" si="7"/>
        <v>8131617</v>
      </c>
      <c r="Y21" s="24">
        <f t="shared" si="8"/>
        <v>243194455</v>
      </c>
    </row>
    <row r="22" spans="1:26" x14ac:dyDescent="0.25">
      <c r="A22">
        <f t="shared" si="0"/>
        <v>9</v>
      </c>
      <c r="B22" s="24">
        <f t="shared" si="1"/>
        <v>4640251</v>
      </c>
      <c r="C22" s="24">
        <f t="shared" si="2"/>
        <v>1356981</v>
      </c>
      <c r="D22" s="24">
        <f t="shared" si="3"/>
        <v>3283270</v>
      </c>
      <c r="E22" s="24">
        <f t="shared" si="4"/>
        <v>109798464</v>
      </c>
      <c r="F22" s="24"/>
      <c r="G22" s="24">
        <f t="shared" ref="G22:G62" si="15">IF($A22-1&gt;H$10+6,0,ROUND(PMT(H$9%,H$10,-H$8),0))</f>
        <v>6507279</v>
      </c>
      <c r="H22" s="24">
        <f t="shared" ref="H22:H62" si="16">ROUND(J21*H$9%,0)</f>
        <v>1561353</v>
      </c>
      <c r="I22" s="24">
        <f t="shared" si="11"/>
        <v>4945926</v>
      </c>
      <c r="J22" s="24">
        <f t="shared" si="12"/>
        <v>125166795</v>
      </c>
      <c r="K22" s="24"/>
      <c r="L22" s="24"/>
      <c r="M22" s="24"/>
      <c r="N22" s="24"/>
      <c r="O22" s="24"/>
      <c r="P22" s="24"/>
      <c r="Q22" s="24">
        <f t="shared" si="13"/>
        <v>0</v>
      </c>
      <c r="R22" s="24">
        <f t="shared" si="14"/>
        <v>0</v>
      </c>
      <c r="S22" s="24">
        <f t="shared" si="9"/>
        <v>0</v>
      </c>
      <c r="T22" s="24">
        <f t="shared" si="10"/>
        <v>0</v>
      </c>
      <c r="U22" s="24"/>
      <c r="V22" s="24">
        <f t="shared" si="5"/>
        <v>11147530</v>
      </c>
      <c r="W22" s="24">
        <f t="shared" si="6"/>
        <v>2918334</v>
      </c>
      <c r="X22" s="24">
        <f t="shared" si="7"/>
        <v>8229196</v>
      </c>
      <c r="Y22" s="24">
        <f t="shared" si="8"/>
        <v>234965259</v>
      </c>
    </row>
    <row r="23" spans="1:26" x14ac:dyDescent="0.25">
      <c r="A23">
        <f t="shared" si="0"/>
        <v>10</v>
      </c>
      <c r="B23" s="24">
        <f t="shared" si="1"/>
        <v>4640251</v>
      </c>
      <c r="C23" s="24">
        <f t="shared" si="2"/>
        <v>1317582</v>
      </c>
      <c r="D23" s="24">
        <f t="shared" si="3"/>
        <v>3322669</v>
      </c>
      <c r="E23" s="24">
        <f t="shared" si="4"/>
        <v>106475795</v>
      </c>
      <c r="F23" s="24"/>
      <c r="G23" s="24">
        <f t="shared" si="15"/>
        <v>6507279</v>
      </c>
      <c r="H23" s="24">
        <f t="shared" si="16"/>
        <v>1502002</v>
      </c>
      <c r="I23" s="24">
        <f t="shared" si="11"/>
        <v>5005277</v>
      </c>
      <c r="J23" s="24">
        <f t="shared" si="12"/>
        <v>120161518</v>
      </c>
      <c r="K23" s="24"/>
      <c r="L23" s="24"/>
      <c r="M23" s="24"/>
      <c r="N23" s="24"/>
      <c r="O23" s="24"/>
      <c r="P23" s="24"/>
      <c r="Q23" s="24">
        <f t="shared" si="13"/>
        <v>0</v>
      </c>
      <c r="R23" s="24">
        <f t="shared" si="14"/>
        <v>0</v>
      </c>
      <c r="S23" s="24">
        <f t="shared" si="9"/>
        <v>0</v>
      </c>
      <c r="T23" s="24">
        <f t="shared" si="10"/>
        <v>0</v>
      </c>
      <c r="U23" s="24"/>
      <c r="V23" s="24">
        <f t="shared" si="5"/>
        <v>11147530</v>
      </c>
      <c r="W23" s="24">
        <f t="shared" si="6"/>
        <v>2819584</v>
      </c>
      <c r="X23" s="24">
        <f t="shared" si="7"/>
        <v>8327946</v>
      </c>
      <c r="Y23" s="24">
        <f t="shared" si="8"/>
        <v>226637313</v>
      </c>
    </row>
    <row r="24" spans="1:26" x14ac:dyDescent="0.25">
      <c r="A24">
        <f t="shared" si="0"/>
        <v>11</v>
      </c>
      <c r="B24" s="24">
        <f t="shared" si="1"/>
        <v>4640251</v>
      </c>
      <c r="C24" s="24">
        <f t="shared" si="2"/>
        <v>1277710</v>
      </c>
      <c r="D24" s="24">
        <f t="shared" si="3"/>
        <v>3362541</v>
      </c>
      <c r="E24" s="24">
        <f t="shared" si="4"/>
        <v>103113254</v>
      </c>
      <c r="F24" s="24"/>
      <c r="G24" s="24">
        <f t="shared" si="15"/>
        <v>6507279</v>
      </c>
      <c r="H24" s="24">
        <f t="shared" si="16"/>
        <v>1441938</v>
      </c>
      <c r="I24" s="24">
        <f t="shared" si="11"/>
        <v>5065341</v>
      </c>
      <c r="J24" s="24">
        <f t="shared" si="12"/>
        <v>115096177</v>
      </c>
      <c r="K24" s="24"/>
      <c r="L24" s="24"/>
      <c r="M24" s="24"/>
      <c r="N24" s="24"/>
      <c r="O24" s="24"/>
      <c r="P24" s="24"/>
      <c r="Q24" s="24">
        <f t="shared" si="13"/>
        <v>0</v>
      </c>
      <c r="R24" s="24">
        <f t="shared" si="14"/>
        <v>0</v>
      </c>
      <c r="S24" s="24">
        <f t="shared" si="9"/>
        <v>0</v>
      </c>
      <c r="T24" s="24">
        <f t="shared" si="10"/>
        <v>0</v>
      </c>
      <c r="U24" s="24"/>
      <c r="V24" s="24">
        <f t="shared" si="5"/>
        <v>11147530</v>
      </c>
      <c r="W24" s="24">
        <f t="shared" si="6"/>
        <v>2719648</v>
      </c>
      <c r="X24" s="24">
        <f t="shared" si="7"/>
        <v>8427882</v>
      </c>
      <c r="Y24" s="24">
        <f t="shared" si="8"/>
        <v>218209431</v>
      </c>
    </row>
    <row r="25" spans="1:26" x14ac:dyDescent="0.25">
      <c r="A25">
        <f t="shared" si="0"/>
        <v>12</v>
      </c>
      <c r="B25" s="24">
        <f t="shared" si="1"/>
        <v>4640251</v>
      </c>
      <c r="C25" s="24">
        <f t="shared" si="2"/>
        <v>1237359</v>
      </c>
      <c r="D25" s="24">
        <f t="shared" si="3"/>
        <v>3402892</v>
      </c>
      <c r="E25" s="24">
        <f t="shared" si="4"/>
        <v>99710362</v>
      </c>
      <c r="F25" s="24"/>
      <c r="G25" s="24">
        <f t="shared" si="15"/>
        <v>6507279</v>
      </c>
      <c r="H25" s="24">
        <f t="shared" si="16"/>
        <v>1381154</v>
      </c>
      <c r="I25" s="24">
        <f t="shared" si="11"/>
        <v>5126125</v>
      </c>
      <c r="J25" s="24">
        <f t="shared" si="12"/>
        <v>109970052</v>
      </c>
      <c r="K25" s="24"/>
      <c r="L25" s="24"/>
      <c r="M25" s="24"/>
      <c r="N25" s="24"/>
      <c r="O25" s="24"/>
      <c r="P25" s="24"/>
      <c r="Q25" s="24">
        <f t="shared" si="13"/>
        <v>0</v>
      </c>
      <c r="R25" s="24">
        <f t="shared" si="14"/>
        <v>0</v>
      </c>
      <c r="S25" s="24">
        <f t="shared" si="9"/>
        <v>0</v>
      </c>
      <c r="T25" s="24">
        <f t="shared" si="10"/>
        <v>0</v>
      </c>
      <c r="U25" s="24"/>
      <c r="V25" s="24">
        <f t="shared" si="5"/>
        <v>11147530</v>
      </c>
      <c r="W25" s="24">
        <f t="shared" si="6"/>
        <v>2618513</v>
      </c>
      <c r="X25" s="24">
        <f t="shared" si="7"/>
        <v>8529017</v>
      </c>
      <c r="Y25" s="24">
        <f t="shared" si="8"/>
        <v>209680414</v>
      </c>
      <c r="Z25" s="47"/>
    </row>
    <row r="26" spans="1:26" x14ac:dyDescent="0.25">
      <c r="A26">
        <f t="shared" si="0"/>
        <v>13</v>
      </c>
      <c r="B26" s="24">
        <f t="shared" si="1"/>
        <v>4640251</v>
      </c>
      <c r="C26" s="24">
        <f t="shared" si="2"/>
        <v>1196524</v>
      </c>
      <c r="D26" s="24">
        <f t="shared" si="3"/>
        <v>3443727</v>
      </c>
      <c r="E26" s="24">
        <f t="shared" si="4"/>
        <v>96266635</v>
      </c>
      <c r="F26" s="24"/>
      <c r="G26" s="24">
        <f t="shared" si="15"/>
        <v>6507279</v>
      </c>
      <c r="H26" s="24">
        <f t="shared" si="16"/>
        <v>1319641</v>
      </c>
      <c r="I26" s="24">
        <f t="shared" si="11"/>
        <v>5187638</v>
      </c>
      <c r="J26" s="24">
        <f t="shared" si="12"/>
        <v>104782414</v>
      </c>
      <c r="K26" s="24"/>
      <c r="L26" s="24"/>
      <c r="M26" s="24"/>
      <c r="N26" s="24"/>
      <c r="O26" s="24"/>
      <c r="P26" s="24"/>
      <c r="Q26" s="24">
        <f t="shared" si="13"/>
        <v>0</v>
      </c>
      <c r="R26" s="24">
        <f t="shared" si="14"/>
        <v>0</v>
      </c>
      <c r="S26" s="24">
        <f t="shared" si="9"/>
        <v>0</v>
      </c>
      <c r="T26" s="24">
        <f t="shared" si="10"/>
        <v>0</v>
      </c>
      <c r="U26" s="24"/>
      <c r="V26" s="24">
        <f t="shared" si="5"/>
        <v>11147530</v>
      </c>
      <c r="W26" s="24">
        <f t="shared" si="6"/>
        <v>2516165</v>
      </c>
      <c r="X26" s="24">
        <f t="shared" si="7"/>
        <v>8631365</v>
      </c>
      <c r="Y26" s="24">
        <f t="shared" si="8"/>
        <v>201049049</v>
      </c>
    </row>
    <row r="27" spans="1:26" x14ac:dyDescent="0.25">
      <c r="A27">
        <f t="shared" si="0"/>
        <v>14</v>
      </c>
      <c r="B27" s="24">
        <f t="shared" si="1"/>
        <v>4640251</v>
      </c>
      <c r="C27" s="24">
        <f t="shared" si="2"/>
        <v>1155200</v>
      </c>
      <c r="D27" s="24">
        <f t="shared" si="3"/>
        <v>3485051</v>
      </c>
      <c r="E27" s="24">
        <f t="shared" si="4"/>
        <v>92781584</v>
      </c>
      <c r="F27" s="24"/>
      <c r="G27" s="24">
        <f t="shared" si="15"/>
        <v>6507279</v>
      </c>
      <c r="H27" s="24">
        <f t="shared" si="16"/>
        <v>1257389</v>
      </c>
      <c r="I27" s="24">
        <f t="shared" si="11"/>
        <v>5249890</v>
      </c>
      <c r="J27" s="24">
        <f t="shared" si="12"/>
        <v>99532524</v>
      </c>
      <c r="K27" s="24"/>
      <c r="L27" s="24"/>
      <c r="M27" s="24"/>
      <c r="N27" s="24"/>
      <c r="O27" s="24"/>
      <c r="P27" s="24"/>
      <c r="Q27" s="24">
        <f t="shared" si="13"/>
        <v>0</v>
      </c>
      <c r="R27" s="24">
        <f t="shared" si="14"/>
        <v>0</v>
      </c>
      <c r="S27" s="24">
        <f t="shared" si="9"/>
        <v>0</v>
      </c>
      <c r="T27" s="24">
        <f t="shared" si="10"/>
        <v>0</v>
      </c>
      <c r="U27" s="24"/>
      <c r="V27" s="24">
        <f t="shared" si="5"/>
        <v>11147530</v>
      </c>
      <c r="W27" s="24">
        <f t="shared" si="6"/>
        <v>2412589</v>
      </c>
      <c r="X27" s="24">
        <f t="shared" si="7"/>
        <v>8734941</v>
      </c>
      <c r="Y27" s="24">
        <f t="shared" si="8"/>
        <v>192314108</v>
      </c>
    </row>
    <row r="28" spans="1:26" x14ac:dyDescent="0.25">
      <c r="A28">
        <f t="shared" si="0"/>
        <v>15</v>
      </c>
      <c r="B28" s="24">
        <f t="shared" si="1"/>
        <v>4640251</v>
      </c>
      <c r="C28" s="24">
        <f t="shared" si="2"/>
        <v>1113379</v>
      </c>
      <c r="D28" s="24">
        <f t="shared" si="3"/>
        <v>3526872</v>
      </c>
      <c r="E28" s="24">
        <f t="shared" si="4"/>
        <v>89254712</v>
      </c>
      <c r="F28" s="24"/>
      <c r="G28" s="24">
        <f t="shared" si="15"/>
        <v>6507279</v>
      </c>
      <c r="H28" s="24">
        <f t="shared" si="16"/>
        <v>1194390</v>
      </c>
      <c r="I28" s="24">
        <f t="shared" si="11"/>
        <v>5312889</v>
      </c>
      <c r="J28" s="24">
        <f t="shared" si="12"/>
        <v>94219635</v>
      </c>
      <c r="K28" s="24"/>
      <c r="L28" s="24"/>
      <c r="M28" s="24"/>
      <c r="N28" s="24"/>
      <c r="O28" s="24"/>
      <c r="P28" s="24"/>
      <c r="Q28" s="24">
        <f t="shared" si="13"/>
        <v>0</v>
      </c>
      <c r="R28" s="24">
        <f t="shared" si="14"/>
        <v>0</v>
      </c>
      <c r="S28" s="24">
        <f t="shared" si="9"/>
        <v>0</v>
      </c>
      <c r="T28" s="24">
        <f t="shared" si="10"/>
        <v>0</v>
      </c>
      <c r="U28" s="24"/>
      <c r="V28" s="24">
        <f t="shared" si="5"/>
        <v>11147530</v>
      </c>
      <c r="W28" s="24">
        <f t="shared" si="6"/>
        <v>2307769</v>
      </c>
      <c r="X28" s="24">
        <f t="shared" si="7"/>
        <v>8839761</v>
      </c>
      <c r="Y28" s="24">
        <f t="shared" si="8"/>
        <v>183474347</v>
      </c>
    </row>
    <row r="29" spans="1:26" x14ac:dyDescent="0.25">
      <c r="A29">
        <f t="shared" si="0"/>
        <v>16</v>
      </c>
      <c r="B29" s="24">
        <f t="shared" si="1"/>
        <v>4640251</v>
      </c>
      <c r="C29" s="24">
        <f t="shared" si="2"/>
        <v>1071057</v>
      </c>
      <c r="D29" s="24">
        <f t="shared" si="3"/>
        <v>3569194</v>
      </c>
      <c r="E29" s="24">
        <f t="shared" si="4"/>
        <v>85685518</v>
      </c>
      <c r="F29" s="24"/>
      <c r="G29" s="24">
        <f t="shared" si="15"/>
        <v>6507279</v>
      </c>
      <c r="H29" s="24">
        <f t="shared" si="16"/>
        <v>1130636</v>
      </c>
      <c r="I29" s="24">
        <f t="shared" si="11"/>
        <v>5376643</v>
      </c>
      <c r="J29" s="24">
        <f t="shared" si="12"/>
        <v>88842992</v>
      </c>
      <c r="K29" s="24"/>
      <c r="L29" s="24"/>
      <c r="M29" s="24"/>
      <c r="N29" s="24"/>
      <c r="O29" s="24"/>
      <c r="P29" s="24"/>
      <c r="Q29" s="24">
        <f t="shared" si="13"/>
        <v>0</v>
      </c>
      <c r="R29" s="24">
        <f t="shared" si="14"/>
        <v>0</v>
      </c>
      <c r="S29" s="24">
        <f t="shared" si="9"/>
        <v>0</v>
      </c>
      <c r="T29" s="24">
        <f t="shared" si="10"/>
        <v>0</v>
      </c>
      <c r="U29" s="24"/>
      <c r="V29" s="24">
        <f t="shared" si="5"/>
        <v>11147530</v>
      </c>
      <c r="W29" s="24">
        <f t="shared" si="6"/>
        <v>2201693</v>
      </c>
      <c r="X29" s="24">
        <f t="shared" si="7"/>
        <v>8945837</v>
      </c>
      <c r="Y29" s="24">
        <f t="shared" si="8"/>
        <v>174528510</v>
      </c>
    </row>
    <row r="30" spans="1:26" x14ac:dyDescent="0.25">
      <c r="A30">
        <f t="shared" si="0"/>
        <v>17</v>
      </c>
      <c r="B30" s="24">
        <f t="shared" si="1"/>
        <v>4640251</v>
      </c>
      <c r="C30" s="24">
        <f t="shared" si="2"/>
        <v>1028226</v>
      </c>
      <c r="D30" s="24">
        <f t="shared" si="3"/>
        <v>3612025</v>
      </c>
      <c r="E30" s="24">
        <f t="shared" si="4"/>
        <v>82073493</v>
      </c>
      <c r="F30" s="24"/>
      <c r="G30" s="24">
        <f t="shared" si="15"/>
        <v>6507279</v>
      </c>
      <c r="H30" s="24">
        <f t="shared" si="16"/>
        <v>1066116</v>
      </c>
      <c r="I30" s="24">
        <f t="shared" si="11"/>
        <v>5441163</v>
      </c>
      <c r="J30" s="24">
        <f t="shared" si="12"/>
        <v>83401829</v>
      </c>
      <c r="K30" s="24"/>
      <c r="L30" s="24"/>
      <c r="M30" s="24"/>
      <c r="N30" s="24"/>
      <c r="O30" s="24"/>
      <c r="P30" s="24"/>
      <c r="Q30" s="24">
        <f t="shared" si="13"/>
        <v>0</v>
      </c>
      <c r="R30" s="24">
        <f t="shared" si="14"/>
        <v>0</v>
      </c>
      <c r="S30" s="24">
        <f t="shared" si="9"/>
        <v>0</v>
      </c>
      <c r="T30" s="24">
        <f t="shared" si="10"/>
        <v>0</v>
      </c>
      <c r="U30" s="24"/>
      <c r="V30" s="24">
        <f t="shared" si="5"/>
        <v>11147530</v>
      </c>
      <c r="W30" s="24">
        <f t="shared" si="6"/>
        <v>2094342</v>
      </c>
      <c r="X30" s="24">
        <f t="shared" si="7"/>
        <v>9053188</v>
      </c>
      <c r="Y30" s="24">
        <f t="shared" si="8"/>
        <v>165475322</v>
      </c>
    </row>
    <row r="31" spans="1:26" x14ac:dyDescent="0.25">
      <c r="A31">
        <f t="shared" si="0"/>
        <v>18</v>
      </c>
      <c r="B31" s="24">
        <f t="shared" si="1"/>
        <v>4640251</v>
      </c>
      <c r="C31" s="24">
        <f t="shared" si="2"/>
        <v>984882</v>
      </c>
      <c r="D31" s="24">
        <f t="shared" si="3"/>
        <v>3655369</v>
      </c>
      <c r="E31" s="24">
        <f t="shared" si="4"/>
        <v>78418124</v>
      </c>
      <c r="F31" s="24"/>
      <c r="G31" s="24">
        <f t="shared" si="15"/>
        <v>6507279</v>
      </c>
      <c r="H31" s="24">
        <f t="shared" si="16"/>
        <v>1000822</v>
      </c>
      <c r="I31" s="24">
        <f t="shared" si="11"/>
        <v>5506457</v>
      </c>
      <c r="J31" s="24">
        <f t="shared" si="12"/>
        <v>77895372</v>
      </c>
      <c r="K31" s="24"/>
      <c r="L31" s="24"/>
      <c r="M31" s="24"/>
      <c r="N31" s="24"/>
      <c r="O31" s="24"/>
      <c r="P31" s="24"/>
      <c r="Q31" s="24">
        <f t="shared" si="13"/>
        <v>0</v>
      </c>
      <c r="R31" s="24">
        <f t="shared" si="14"/>
        <v>0</v>
      </c>
      <c r="S31" s="24">
        <f t="shared" si="9"/>
        <v>0</v>
      </c>
      <c r="T31" s="24">
        <f t="shared" si="10"/>
        <v>0</v>
      </c>
      <c r="U31" s="24"/>
      <c r="V31" s="24">
        <f t="shared" si="5"/>
        <v>11147530</v>
      </c>
      <c r="W31" s="24">
        <f t="shared" si="6"/>
        <v>1985704</v>
      </c>
      <c r="X31" s="24">
        <f t="shared" si="7"/>
        <v>9161826</v>
      </c>
      <c r="Y31" s="24">
        <f t="shared" si="8"/>
        <v>156313496</v>
      </c>
    </row>
    <row r="32" spans="1:26" x14ac:dyDescent="0.25">
      <c r="A32">
        <f t="shared" si="0"/>
        <v>19</v>
      </c>
      <c r="B32" s="24">
        <f t="shared" si="1"/>
        <v>4640251</v>
      </c>
      <c r="C32" s="24">
        <f t="shared" si="2"/>
        <v>941017</v>
      </c>
      <c r="D32" s="24">
        <f t="shared" si="3"/>
        <v>3699234</v>
      </c>
      <c r="E32" s="24">
        <f t="shared" si="4"/>
        <v>74718890</v>
      </c>
      <c r="F32" s="24"/>
      <c r="G32" s="24">
        <f t="shared" si="15"/>
        <v>6507279</v>
      </c>
      <c r="H32" s="24">
        <f t="shared" si="16"/>
        <v>934744</v>
      </c>
      <c r="I32" s="24">
        <f t="shared" si="11"/>
        <v>5572535</v>
      </c>
      <c r="J32" s="24">
        <f t="shared" si="12"/>
        <v>72322837</v>
      </c>
      <c r="K32" s="24"/>
      <c r="L32" s="24"/>
      <c r="M32" s="24"/>
      <c r="N32" s="24"/>
      <c r="O32" s="24">
        <f>+M8</f>
        <v>120000000</v>
      </c>
      <c r="P32" s="24"/>
      <c r="Q32" s="24">
        <f t="shared" si="13"/>
        <v>0</v>
      </c>
      <c r="R32" s="24">
        <f t="shared" si="14"/>
        <v>0</v>
      </c>
      <c r="S32" s="24">
        <f t="shared" si="9"/>
        <v>0</v>
      </c>
      <c r="T32" s="24">
        <f t="shared" si="10"/>
        <v>0</v>
      </c>
      <c r="U32" s="24"/>
      <c r="V32" s="24">
        <f t="shared" si="5"/>
        <v>11147530</v>
      </c>
      <c r="W32" s="24">
        <f t="shared" si="6"/>
        <v>1875761</v>
      </c>
      <c r="X32" s="24">
        <f t="shared" si="7"/>
        <v>9271769</v>
      </c>
      <c r="Y32" s="24">
        <f t="shared" si="8"/>
        <v>267041727</v>
      </c>
    </row>
    <row r="33" spans="1:26" x14ac:dyDescent="0.25">
      <c r="A33">
        <f t="shared" si="0"/>
        <v>20</v>
      </c>
      <c r="B33" s="24">
        <f t="shared" si="1"/>
        <v>4640251</v>
      </c>
      <c r="C33" s="24">
        <f t="shared" si="2"/>
        <v>896627</v>
      </c>
      <c r="D33" s="24">
        <f t="shared" si="3"/>
        <v>3743624</v>
      </c>
      <c r="E33" s="24">
        <f t="shared" si="4"/>
        <v>70975266</v>
      </c>
      <c r="F33" s="24"/>
      <c r="G33" s="24">
        <f t="shared" si="15"/>
        <v>6507279</v>
      </c>
      <c r="H33" s="24">
        <f t="shared" si="16"/>
        <v>867874</v>
      </c>
      <c r="I33" s="24">
        <f t="shared" si="11"/>
        <v>5639405</v>
      </c>
      <c r="J33" s="24">
        <f t="shared" si="12"/>
        <v>66683432</v>
      </c>
      <c r="K33" s="24"/>
      <c r="L33" s="24">
        <f>IF($A33-1&gt;M$10+18,0,ROUND(PMT(M$9%,M$10,-M$8),0))</f>
        <v>10797052</v>
      </c>
      <c r="M33" s="24">
        <f>ROUND(O32*M$9%,0)</f>
        <v>1440000</v>
      </c>
      <c r="N33" s="24">
        <f t="shared" ref="N33:N56" si="17">+L33-M33</f>
        <v>9357052</v>
      </c>
      <c r="O33" s="24">
        <f t="shared" ref="O33:O56" si="18">+O32-N33</f>
        <v>110642948</v>
      </c>
      <c r="P33" s="24"/>
      <c r="Q33" s="24">
        <f t="shared" si="13"/>
        <v>0</v>
      </c>
      <c r="R33" s="24">
        <f t="shared" si="14"/>
        <v>0</v>
      </c>
      <c r="S33" s="24">
        <f t="shared" si="9"/>
        <v>0</v>
      </c>
      <c r="T33" s="24">
        <f t="shared" si="10"/>
        <v>0</v>
      </c>
      <c r="U33" s="24"/>
      <c r="V33" s="24">
        <f t="shared" si="5"/>
        <v>21944582</v>
      </c>
      <c r="W33" s="24">
        <f t="shared" si="6"/>
        <v>3204501</v>
      </c>
      <c r="X33" s="24">
        <f t="shared" si="7"/>
        <v>18740081</v>
      </c>
      <c r="Y33" s="24">
        <f t="shared" si="8"/>
        <v>248301646</v>
      </c>
    </row>
    <row r="34" spans="1:26" x14ac:dyDescent="0.25">
      <c r="A34">
        <f t="shared" si="0"/>
        <v>21</v>
      </c>
      <c r="B34" s="24">
        <f t="shared" si="1"/>
        <v>4640251</v>
      </c>
      <c r="C34" s="24">
        <f t="shared" si="2"/>
        <v>851703</v>
      </c>
      <c r="D34" s="24">
        <f t="shared" si="3"/>
        <v>3788548</v>
      </c>
      <c r="E34" s="24">
        <f t="shared" si="4"/>
        <v>67186718</v>
      </c>
      <c r="F34" s="24"/>
      <c r="G34" s="24">
        <f t="shared" si="15"/>
        <v>6507279</v>
      </c>
      <c r="H34" s="24">
        <f t="shared" si="16"/>
        <v>800201</v>
      </c>
      <c r="I34" s="24">
        <f t="shared" si="11"/>
        <v>5707078</v>
      </c>
      <c r="J34" s="24">
        <f t="shared" si="12"/>
        <v>60976354</v>
      </c>
      <c r="K34" s="24"/>
      <c r="L34" s="24">
        <f t="shared" ref="L34:L68" si="19">IF($A34-1&gt;M$10+18,0,ROUND(PMT(M$9%,M$10,-M$8),0))</f>
        <v>10797052</v>
      </c>
      <c r="M34" s="24">
        <f t="shared" ref="M34:M68" si="20">ROUND(O33*M$9%,0)</f>
        <v>1327715</v>
      </c>
      <c r="N34" s="24">
        <f t="shared" si="17"/>
        <v>9469337</v>
      </c>
      <c r="O34" s="24">
        <f t="shared" si="18"/>
        <v>101173611</v>
      </c>
      <c r="P34" s="24"/>
      <c r="Q34" s="24">
        <f t="shared" si="13"/>
        <v>0</v>
      </c>
      <c r="R34" s="24">
        <f t="shared" si="14"/>
        <v>0</v>
      </c>
      <c r="S34" s="24">
        <f t="shared" si="9"/>
        <v>0</v>
      </c>
      <c r="T34" s="24">
        <f t="shared" si="10"/>
        <v>0</v>
      </c>
      <c r="U34" s="24"/>
      <c r="V34" s="24">
        <f t="shared" si="5"/>
        <v>21944582</v>
      </c>
      <c r="W34" s="24">
        <f t="shared" si="6"/>
        <v>2979619</v>
      </c>
      <c r="X34" s="24">
        <f t="shared" si="7"/>
        <v>18964963</v>
      </c>
      <c r="Y34" s="24">
        <f t="shared" si="8"/>
        <v>229336683</v>
      </c>
    </row>
    <row r="35" spans="1:26" x14ac:dyDescent="0.25">
      <c r="A35">
        <f t="shared" si="0"/>
        <v>22</v>
      </c>
      <c r="B35" s="24">
        <f t="shared" si="1"/>
        <v>4640251</v>
      </c>
      <c r="C35" s="24">
        <f t="shared" si="2"/>
        <v>806241</v>
      </c>
      <c r="D35" s="24">
        <f t="shared" si="3"/>
        <v>3834010</v>
      </c>
      <c r="E35" s="24">
        <f t="shared" si="4"/>
        <v>63352708</v>
      </c>
      <c r="F35" s="24"/>
      <c r="G35" s="24">
        <f t="shared" si="15"/>
        <v>6507279</v>
      </c>
      <c r="H35" s="24">
        <f t="shared" si="16"/>
        <v>731716</v>
      </c>
      <c r="I35" s="24">
        <f t="shared" si="11"/>
        <v>5775563</v>
      </c>
      <c r="J35" s="24">
        <f t="shared" si="12"/>
        <v>55200791</v>
      </c>
      <c r="K35" s="24"/>
      <c r="L35" s="24">
        <f t="shared" si="19"/>
        <v>10797052</v>
      </c>
      <c r="M35" s="24">
        <f t="shared" si="20"/>
        <v>1214083</v>
      </c>
      <c r="N35" s="24">
        <f t="shared" si="17"/>
        <v>9582969</v>
      </c>
      <c r="O35" s="24">
        <f t="shared" si="18"/>
        <v>91590642</v>
      </c>
      <c r="P35" s="24"/>
      <c r="Q35" s="24">
        <f t="shared" si="13"/>
        <v>0</v>
      </c>
      <c r="R35" s="24">
        <f t="shared" si="14"/>
        <v>0</v>
      </c>
      <c r="S35" s="24">
        <f t="shared" si="9"/>
        <v>0</v>
      </c>
      <c r="T35" s="24">
        <f t="shared" si="10"/>
        <v>0</v>
      </c>
      <c r="U35" s="24"/>
      <c r="V35" s="24">
        <f t="shared" si="5"/>
        <v>21944582</v>
      </c>
      <c r="W35" s="24">
        <f t="shared" si="6"/>
        <v>2752040</v>
      </c>
      <c r="X35" s="24">
        <f t="shared" si="7"/>
        <v>19192542</v>
      </c>
      <c r="Y35" s="24">
        <f t="shared" si="8"/>
        <v>210144141</v>
      </c>
    </row>
    <row r="36" spans="1:26" x14ac:dyDescent="0.25">
      <c r="A36">
        <f t="shared" si="0"/>
        <v>23</v>
      </c>
      <c r="B36" s="24">
        <f t="shared" si="1"/>
        <v>4640251</v>
      </c>
      <c r="C36" s="24">
        <f t="shared" si="2"/>
        <v>760232</v>
      </c>
      <c r="D36" s="24">
        <f t="shared" si="3"/>
        <v>3880019</v>
      </c>
      <c r="E36" s="24">
        <f t="shared" si="4"/>
        <v>59472689</v>
      </c>
      <c r="F36" s="24"/>
      <c r="G36" s="24">
        <f t="shared" si="15"/>
        <v>6507279</v>
      </c>
      <c r="H36" s="24">
        <f t="shared" si="16"/>
        <v>662409</v>
      </c>
      <c r="I36" s="24">
        <f t="shared" si="11"/>
        <v>5844870</v>
      </c>
      <c r="J36" s="24">
        <f t="shared" si="12"/>
        <v>49355921</v>
      </c>
      <c r="K36" s="24"/>
      <c r="L36" s="24">
        <f t="shared" si="19"/>
        <v>10797052</v>
      </c>
      <c r="M36" s="24">
        <f t="shared" si="20"/>
        <v>1099088</v>
      </c>
      <c r="N36" s="24">
        <f t="shared" si="17"/>
        <v>9697964</v>
      </c>
      <c r="O36" s="24">
        <f t="shared" si="18"/>
        <v>81892678</v>
      </c>
      <c r="P36" s="24"/>
      <c r="Q36" s="24">
        <f t="shared" si="13"/>
        <v>0</v>
      </c>
      <c r="R36" s="24">
        <f t="shared" si="14"/>
        <v>0</v>
      </c>
      <c r="S36" s="24">
        <f t="shared" si="9"/>
        <v>0</v>
      </c>
      <c r="T36" s="24">
        <f t="shared" si="10"/>
        <v>0</v>
      </c>
      <c r="U36" s="24"/>
      <c r="V36" s="24">
        <f t="shared" si="5"/>
        <v>21944582</v>
      </c>
      <c r="W36" s="24">
        <f t="shared" si="6"/>
        <v>2521729</v>
      </c>
      <c r="X36" s="24">
        <f t="shared" si="7"/>
        <v>19422853</v>
      </c>
      <c r="Y36" s="24">
        <f t="shared" si="8"/>
        <v>190721288</v>
      </c>
    </row>
    <row r="37" spans="1:26" x14ac:dyDescent="0.25">
      <c r="A37">
        <f t="shared" si="0"/>
        <v>24</v>
      </c>
      <c r="B37" s="24">
        <f t="shared" si="1"/>
        <v>4640251</v>
      </c>
      <c r="C37" s="24">
        <f t="shared" si="2"/>
        <v>713672</v>
      </c>
      <c r="D37" s="24">
        <f t="shared" si="3"/>
        <v>3926579</v>
      </c>
      <c r="E37" s="24">
        <f t="shared" si="4"/>
        <v>55546110</v>
      </c>
      <c r="F37" s="24"/>
      <c r="G37" s="24">
        <f t="shared" si="15"/>
        <v>6507279</v>
      </c>
      <c r="H37" s="24">
        <f t="shared" si="16"/>
        <v>592271</v>
      </c>
      <c r="I37" s="24">
        <f t="shared" si="11"/>
        <v>5915008</v>
      </c>
      <c r="J37" s="24">
        <f t="shared" si="12"/>
        <v>43440913</v>
      </c>
      <c r="K37" s="24"/>
      <c r="L37" s="24">
        <f t="shared" si="19"/>
        <v>10797052</v>
      </c>
      <c r="M37" s="24">
        <f t="shared" si="20"/>
        <v>982712</v>
      </c>
      <c r="N37" s="24">
        <f t="shared" si="17"/>
        <v>9814340</v>
      </c>
      <c r="O37" s="24">
        <f t="shared" si="18"/>
        <v>72078338</v>
      </c>
      <c r="P37" s="24"/>
      <c r="Q37" s="24">
        <f t="shared" si="13"/>
        <v>0</v>
      </c>
      <c r="R37" s="24">
        <f t="shared" si="14"/>
        <v>0</v>
      </c>
      <c r="S37" s="24">
        <f t="shared" si="9"/>
        <v>0</v>
      </c>
      <c r="T37" s="24">
        <f t="shared" si="10"/>
        <v>0</v>
      </c>
      <c r="U37" s="24"/>
      <c r="V37" s="24">
        <f t="shared" si="5"/>
        <v>21944582</v>
      </c>
      <c r="W37" s="24">
        <f t="shared" si="6"/>
        <v>2288655</v>
      </c>
      <c r="X37" s="24">
        <f t="shared" si="7"/>
        <v>19655927</v>
      </c>
      <c r="Y37" s="24">
        <f t="shared" si="8"/>
        <v>171065361</v>
      </c>
      <c r="Z37" s="47"/>
    </row>
    <row r="38" spans="1:26" x14ac:dyDescent="0.25">
      <c r="A38">
        <f t="shared" si="0"/>
        <v>25</v>
      </c>
      <c r="B38" s="24">
        <f t="shared" si="1"/>
        <v>4640251</v>
      </c>
      <c r="C38" s="24">
        <f t="shared" si="2"/>
        <v>666553</v>
      </c>
      <c r="D38" s="24">
        <f t="shared" si="3"/>
        <v>3973698</v>
      </c>
      <c r="E38" s="24">
        <f t="shared" si="4"/>
        <v>51572412</v>
      </c>
      <c r="F38" s="24"/>
      <c r="G38" s="24">
        <f t="shared" si="15"/>
        <v>6507279</v>
      </c>
      <c r="H38" s="24">
        <f t="shared" si="16"/>
        <v>521291</v>
      </c>
      <c r="I38" s="24">
        <f t="shared" si="11"/>
        <v>5985988</v>
      </c>
      <c r="J38" s="24">
        <f t="shared" si="12"/>
        <v>37454925</v>
      </c>
      <c r="K38" s="24"/>
      <c r="L38" s="24">
        <f t="shared" si="19"/>
        <v>10797052</v>
      </c>
      <c r="M38" s="24">
        <f t="shared" si="20"/>
        <v>864940</v>
      </c>
      <c r="N38" s="24">
        <f t="shared" si="17"/>
        <v>9932112</v>
      </c>
      <c r="O38" s="24">
        <f t="shared" si="18"/>
        <v>62146226</v>
      </c>
      <c r="P38" s="24"/>
      <c r="Q38" s="24">
        <f t="shared" si="13"/>
        <v>0</v>
      </c>
      <c r="R38" s="24">
        <f t="shared" si="14"/>
        <v>0</v>
      </c>
      <c r="S38" s="24">
        <f t="shared" si="9"/>
        <v>0</v>
      </c>
      <c r="T38" s="24">
        <f t="shared" si="10"/>
        <v>0</v>
      </c>
      <c r="U38" s="24"/>
      <c r="V38" s="24">
        <f t="shared" si="5"/>
        <v>21944582</v>
      </c>
      <c r="W38" s="24">
        <f t="shared" si="6"/>
        <v>2052784</v>
      </c>
      <c r="X38" s="24">
        <f t="shared" si="7"/>
        <v>19891798</v>
      </c>
      <c r="Y38" s="24">
        <f t="shared" si="8"/>
        <v>151173563</v>
      </c>
    </row>
    <row r="39" spans="1:26" x14ac:dyDescent="0.25">
      <c r="A39">
        <f t="shared" si="0"/>
        <v>26</v>
      </c>
      <c r="B39" s="24">
        <f t="shared" si="1"/>
        <v>4640251</v>
      </c>
      <c r="C39" s="24">
        <f t="shared" si="2"/>
        <v>618869</v>
      </c>
      <c r="D39" s="24">
        <f t="shared" si="3"/>
        <v>4021382</v>
      </c>
      <c r="E39" s="24">
        <f t="shared" si="4"/>
        <v>47551030</v>
      </c>
      <c r="F39" s="24"/>
      <c r="G39" s="24">
        <f t="shared" si="15"/>
        <v>6507279</v>
      </c>
      <c r="H39" s="24">
        <f t="shared" si="16"/>
        <v>449459</v>
      </c>
      <c r="I39" s="24">
        <f t="shared" si="11"/>
        <v>6057820</v>
      </c>
      <c r="J39" s="24">
        <f t="shared" si="12"/>
        <v>31397105</v>
      </c>
      <c r="K39" s="24"/>
      <c r="L39" s="24">
        <f t="shared" si="19"/>
        <v>10797052</v>
      </c>
      <c r="M39" s="24">
        <f t="shared" si="20"/>
        <v>745755</v>
      </c>
      <c r="N39" s="24">
        <f t="shared" si="17"/>
        <v>10051297</v>
      </c>
      <c r="O39" s="24">
        <f t="shared" si="18"/>
        <v>52094929</v>
      </c>
      <c r="P39" s="24"/>
      <c r="Q39" s="24">
        <f t="shared" si="13"/>
        <v>0</v>
      </c>
      <c r="R39" s="24">
        <f t="shared" si="14"/>
        <v>0</v>
      </c>
      <c r="S39" s="24">
        <f t="shared" si="9"/>
        <v>0</v>
      </c>
      <c r="T39" s="24">
        <f t="shared" si="10"/>
        <v>0</v>
      </c>
      <c r="U39" s="24"/>
      <c r="V39" s="24">
        <f t="shared" si="5"/>
        <v>21944582</v>
      </c>
      <c r="W39" s="24">
        <f t="shared" si="6"/>
        <v>1814083</v>
      </c>
      <c r="X39" s="24">
        <f t="shared" si="7"/>
        <v>20130499</v>
      </c>
      <c r="Y39" s="24">
        <f t="shared" si="8"/>
        <v>131043064</v>
      </c>
      <c r="Z39" s="36"/>
    </row>
    <row r="40" spans="1:26" x14ac:dyDescent="0.25">
      <c r="A40">
        <f t="shared" si="0"/>
        <v>27</v>
      </c>
      <c r="B40" s="24">
        <f t="shared" si="1"/>
        <v>4640251</v>
      </c>
      <c r="C40" s="24">
        <f t="shared" si="2"/>
        <v>570612</v>
      </c>
      <c r="D40" s="24">
        <f t="shared" si="3"/>
        <v>4069639</v>
      </c>
      <c r="E40" s="24">
        <f t="shared" si="4"/>
        <v>43481391</v>
      </c>
      <c r="F40" s="24"/>
      <c r="G40" s="24">
        <f t="shared" si="15"/>
        <v>6507279</v>
      </c>
      <c r="H40" s="24">
        <f t="shared" si="16"/>
        <v>376765</v>
      </c>
      <c r="I40" s="24">
        <f t="shared" si="11"/>
        <v>6130514</v>
      </c>
      <c r="J40" s="24">
        <f t="shared" si="12"/>
        <v>25266591</v>
      </c>
      <c r="K40" s="24"/>
      <c r="L40" s="24">
        <f t="shared" si="19"/>
        <v>10797052</v>
      </c>
      <c r="M40" s="24">
        <f t="shared" si="20"/>
        <v>625139</v>
      </c>
      <c r="N40" s="24">
        <f t="shared" si="17"/>
        <v>10171913</v>
      </c>
      <c r="O40" s="24">
        <f t="shared" si="18"/>
        <v>41923016</v>
      </c>
      <c r="P40" s="24"/>
      <c r="Q40" s="24">
        <f t="shared" si="13"/>
        <v>0</v>
      </c>
      <c r="R40" s="24">
        <f t="shared" si="14"/>
        <v>0</v>
      </c>
      <c r="S40" s="24">
        <f t="shared" si="9"/>
        <v>0</v>
      </c>
      <c r="T40" s="24">
        <f t="shared" si="10"/>
        <v>0</v>
      </c>
      <c r="U40" s="24"/>
      <c r="V40" s="24">
        <f t="shared" si="5"/>
        <v>21944582</v>
      </c>
      <c r="W40" s="24">
        <f t="shared" si="6"/>
        <v>1572516</v>
      </c>
      <c r="X40" s="24">
        <f t="shared" si="7"/>
        <v>20372066</v>
      </c>
      <c r="Y40" s="24">
        <f t="shared" si="8"/>
        <v>110670998</v>
      </c>
    </row>
    <row r="41" spans="1:26" x14ac:dyDescent="0.25">
      <c r="A41">
        <f t="shared" si="0"/>
        <v>28</v>
      </c>
      <c r="B41" s="24">
        <f t="shared" si="1"/>
        <v>4640251</v>
      </c>
      <c r="C41" s="24">
        <f t="shared" si="2"/>
        <v>521777</v>
      </c>
      <c r="D41" s="24">
        <f t="shared" si="3"/>
        <v>4118474</v>
      </c>
      <c r="E41" s="24">
        <f t="shared" si="4"/>
        <v>39362917</v>
      </c>
      <c r="F41" s="24"/>
      <c r="G41" s="24">
        <f t="shared" si="15"/>
        <v>6507279</v>
      </c>
      <c r="H41" s="24">
        <f t="shared" si="16"/>
        <v>303199</v>
      </c>
      <c r="I41" s="24">
        <f t="shared" si="11"/>
        <v>6204080</v>
      </c>
      <c r="J41" s="24">
        <f t="shared" si="12"/>
        <v>19062511</v>
      </c>
      <c r="K41" s="24"/>
      <c r="L41" s="24">
        <f t="shared" si="19"/>
        <v>10797052</v>
      </c>
      <c r="M41" s="24">
        <f t="shared" si="20"/>
        <v>503076</v>
      </c>
      <c r="N41" s="24">
        <f t="shared" si="17"/>
        <v>10293976</v>
      </c>
      <c r="O41" s="24">
        <f t="shared" si="18"/>
        <v>31629040</v>
      </c>
      <c r="P41" s="24"/>
      <c r="Q41" s="24">
        <f t="shared" si="13"/>
        <v>0</v>
      </c>
      <c r="R41" s="24">
        <f t="shared" si="14"/>
        <v>0</v>
      </c>
      <c r="S41" s="24">
        <f t="shared" si="9"/>
        <v>0</v>
      </c>
      <c r="T41" s="24">
        <f t="shared" si="10"/>
        <v>0</v>
      </c>
      <c r="U41" s="24"/>
      <c r="V41" s="24">
        <f t="shared" si="5"/>
        <v>21944582</v>
      </c>
      <c r="W41" s="24">
        <f t="shared" si="6"/>
        <v>1328052</v>
      </c>
      <c r="X41" s="24">
        <f t="shared" si="7"/>
        <v>20616530</v>
      </c>
      <c r="Y41" s="24">
        <f t="shared" si="8"/>
        <v>90054468</v>
      </c>
    </row>
    <row r="42" spans="1:26" x14ac:dyDescent="0.25">
      <c r="A42">
        <f t="shared" si="0"/>
        <v>29</v>
      </c>
      <c r="B42" s="24">
        <f t="shared" si="1"/>
        <v>4640251</v>
      </c>
      <c r="C42" s="24">
        <f t="shared" si="2"/>
        <v>472355</v>
      </c>
      <c r="D42" s="24">
        <f t="shared" si="3"/>
        <v>4167896</v>
      </c>
      <c r="E42" s="24">
        <f t="shared" si="4"/>
        <v>35195021</v>
      </c>
      <c r="F42" s="24"/>
      <c r="G42" s="24">
        <f t="shared" si="15"/>
        <v>6507279</v>
      </c>
      <c r="H42" s="24">
        <f t="shared" si="16"/>
        <v>228750</v>
      </c>
      <c r="I42" s="24">
        <f t="shared" si="11"/>
        <v>6278529</v>
      </c>
      <c r="J42" s="24">
        <f t="shared" si="12"/>
        <v>12783982</v>
      </c>
      <c r="K42" s="24"/>
      <c r="L42" s="24">
        <f t="shared" si="19"/>
        <v>10797052</v>
      </c>
      <c r="M42" s="24">
        <f t="shared" si="20"/>
        <v>379548</v>
      </c>
      <c r="N42" s="24">
        <f t="shared" si="17"/>
        <v>10417504</v>
      </c>
      <c r="O42" s="24">
        <f t="shared" si="18"/>
        <v>21211536</v>
      </c>
      <c r="P42" s="24"/>
      <c r="Q42" s="24">
        <f t="shared" si="13"/>
        <v>0</v>
      </c>
      <c r="R42" s="24">
        <f t="shared" si="14"/>
        <v>0</v>
      </c>
      <c r="S42" s="24">
        <f t="shared" si="9"/>
        <v>0</v>
      </c>
      <c r="T42" s="24">
        <f t="shared" si="10"/>
        <v>0</v>
      </c>
      <c r="U42" s="24"/>
      <c r="V42" s="24">
        <f t="shared" si="5"/>
        <v>21944582</v>
      </c>
      <c r="W42" s="24">
        <f t="shared" si="6"/>
        <v>1080653</v>
      </c>
      <c r="X42" s="24">
        <f t="shared" si="7"/>
        <v>20863929</v>
      </c>
      <c r="Y42" s="24">
        <f t="shared" si="8"/>
        <v>69190539</v>
      </c>
    </row>
    <row r="43" spans="1:26" x14ac:dyDescent="0.25">
      <c r="A43">
        <f t="shared" si="0"/>
        <v>30</v>
      </c>
      <c r="B43" s="24">
        <f t="shared" si="1"/>
        <v>4640251</v>
      </c>
      <c r="C43" s="24">
        <f t="shared" si="2"/>
        <v>422340</v>
      </c>
      <c r="D43" s="24">
        <f t="shared" si="3"/>
        <v>4217911</v>
      </c>
      <c r="E43" s="24">
        <f t="shared" si="4"/>
        <v>30977110</v>
      </c>
      <c r="F43" s="24"/>
      <c r="G43" s="24">
        <f t="shared" si="15"/>
        <v>6507279</v>
      </c>
      <c r="H43" s="24">
        <f t="shared" si="16"/>
        <v>153408</v>
      </c>
      <c r="I43" s="24">
        <f t="shared" si="11"/>
        <v>6353871</v>
      </c>
      <c r="J43" s="24">
        <f t="shared" si="12"/>
        <v>6430111</v>
      </c>
      <c r="K43" s="24"/>
      <c r="L43" s="24">
        <f t="shared" si="19"/>
        <v>10797052</v>
      </c>
      <c r="M43" s="24">
        <f t="shared" si="20"/>
        <v>254538</v>
      </c>
      <c r="N43" s="24">
        <f t="shared" si="17"/>
        <v>10542514</v>
      </c>
      <c r="O43" s="24">
        <f t="shared" si="18"/>
        <v>10669022</v>
      </c>
      <c r="P43" s="24"/>
      <c r="Q43" s="24">
        <f t="shared" si="13"/>
        <v>0</v>
      </c>
      <c r="R43" s="24">
        <f t="shared" si="14"/>
        <v>0</v>
      </c>
      <c r="S43" s="24">
        <f t="shared" si="9"/>
        <v>0</v>
      </c>
      <c r="T43" s="24">
        <f t="shared" si="10"/>
        <v>0</v>
      </c>
      <c r="U43" s="24"/>
      <c r="V43" s="24">
        <f t="shared" si="5"/>
        <v>21944582</v>
      </c>
      <c r="W43" s="24">
        <f t="shared" si="6"/>
        <v>830286</v>
      </c>
      <c r="X43" s="24">
        <f t="shared" si="7"/>
        <v>21114296</v>
      </c>
      <c r="Y43" s="24">
        <f t="shared" si="8"/>
        <v>48076243</v>
      </c>
    </row>
    <row r="44" spans="1:26" x14ac:dyDescent="0.25">
      <c r="A44">
        <f t="shared" si="0"/>
        <v>31</v>
      </c>
      <c r="B44" s="24">
        <f t="shared" si="1"/>
        <v>4640251</v>
      </c>
      <c r="C44" s="24">
        <f t="shared" si="2"/>
        <v>371725</v>
      </c>
      <c r="D44" s="24">
        <f t="shared" si="3"/>
        <v>4268526</v>
      </c>
      <c r="E44" s="24">
        <f t="shared" si="4"/>
        <v>26708584</v>
      </c>
      <c r="F44" s="24"/>
      <c r="G44" s="24">
        <f>IF($A44-1&gt;H$10+6,0,ROUND(PMT(H$9%,H$10,-H$8),0))-8</f>
        <v>6507271</v>
      </c>
      <c r="H44" s="24">
        <f t="shared" si="16"/>
        <v>77161</v>
      </c>
      <c r="I44" s="24">
        <f t="shared" si="11"/>
        <v>6430110</v>
      </c>
      <c r="J44" s="24">
        <f t="shared" si="12"/>
        <v>1</v>
      </c>
      <c r="K44" s="24"/>
      <c r="L44" s="24">
        <f>IF($A44-1&gt;M$10+18,0,ROUND(PMT(M$9%,M$10,-M$8),0))+7</f>
        <v>10797059</v>
      </c>
      <c r="M44" s="24">
        <f t="shared" si="20"/>
        <v>128028</v>
      </c>
      <c r="N44" s="24">
        <f t="shared" si="17"/>
        <v>10669031</v>
      </c>
      <c r="O44" s="24">
        <f t="shared" si="18"/>
        <v>-9</v>
      </c>
      <c r="P44" s="24"/>
      <c r="Q44" s="24">
        <f t="shared" si="13"/>
        <v>0</v>
      </c>
      <c r="R44" s="24">
        <f t="shared" si="14"/>
        <v>0</v>
      </c>
      <c r="S44" s="24">
        <f t="shared" si="9"/>
        <v>0</v>
      </c>
      <c r="T44" s="24">
        <f t="shared" si="10"/>
        <v>0</v>
      </c>
      <c r="U44" s="24"/>
      <c r="V44" s="24">
        <f t="shared" si="5"/>
        <v>21944581</v>
      </c>
      <c r="W44" s="24">
        <f t="shared" si="6"/>
        <v>576914</v>
      </c>
      <c r="X44" s="24">
        <f t="shared" si="7"/>
        <v>21367667</v>
      </c>
      <c r="Y44" s="24">
        <f t="shared" si="8"/>
        <v>26708576</v>
      </c>
    </row>
    <row r="45" spans="1:26" x14ac:dyDescent="0.25">
      <c r="A45">
        <f t="shared" si="0"/>
        <v>32</v>
      </c>
      <c r="B45" s="24">
        <f t="shared" si="1"/>
        <v>4640251</v>
      </c>
      <c r="C45" s="24">
        <f t="shared" si="2"/>
        <v>320503</v>
      </c>
      <c r="D45" s="24">
        <f t="shared" si="3"/>
        <v>4319748</v>
      </c>
      <c r="E45" s="24">
        <f t="shared" si="4"/>
        <v>22388836</v>
      </c>
      <c r="F45" s="24"/>
      <c r="G45" s="24">
        <f t="shared" si="15"/>
        <v>0</v>
      </c>
      <c r="H45" s="24">
        <f t="shared" si="16"/>
        <v>0</v>
      </c>
      <c r="I45" s="24">
        <f t="shared" si="11"/>
        <v>0</v>
      </c>
      <c r="J45" s="24">
        <f t="shared" si="12"/>
        <v>1</v>
      </c>
      <c r="K45" s="24"/>
      <c r="L45" s="24">
        <f t="shared" si="19"/>
        <v>0</v>
      </c>
      <c r="M45" s="24">
        <f t="shared" si="20"/>
        <v>0</v>
      </c>
      <c r="N45" s="24">
        <f t="shared" si="17"/>
        <v>0</v>
      </c>
      <c r="O45" s="24">
        <f t="shared" si="18"/>
        <v>-9</v>
      </c>
      <c r="P45" s="24"/>
      <c r="Q45" s="24">
        <f t="shared" si="13"/>
        <v>0</v>
      </c>
      <c r="R45" s="24">
        <f t="shared" si="14"/>
        <v>0</v>
      </c>
      <c r="S45" s="24">
        <f t="shared" si="9"/>
        <v>0</v>
      </c>
      <c r="T45" s="24">
        <f t="shared" si="10"/>
        <v>0</v>
      </c>
      <c r="U45" s="24"/>
      <c r="V45" s="24">
        <f t="shared" si="5"/>
        <v>4640251</v>
      </c>
      <c r="W45" s="24">
        <f t="shared" si="6"/>
        <v>320503</v>
      </c>
      <c r="X45" s="24">
        <f t="shared" si="7"/>
        <v>4319748</v>
      </c>
      <c r="Y45" s="24">
        <f t="shared" si="8"/>
        <v>22388828</v>
      </c>
    </row>
    <row r="46" spans="1:26" x14ac:dyDescent="0.25">
      <c r="A46">
        <f t="shared" si="0"/>
        <v>33</v>
      </c>
      <c r="B46" s="24">
        <f t="shared" si="1"/>
        <v>4640251</v>
      </c>
      <c r="C46" s="24">
        <f t="shared" si="2"/>
        <v>268666</v>
      </c>
      <c r="D46" s="24">
        <f t="shared" si="3"/>
        <v>4371585</v>
      </c>
      <c r="E46" s="24">
        <f t="shared" si="4"/>
        <v>18017251</v>
      </c>
      <c r="F46" s="24"/>
      <c r="G46" s="24">
        <f t="shared" si="15"/>
        <v>0</v>
      </c>
      <c r="H46" s="24">
        <f t="shared" si="16"/>
        <v>0</v>
      </c>
      <c r="I46" s="24">
        <f t="shared" si="11"/>
        <v>0</v>
      </c>
      <c r="J46" s="24">
        <f t="shared" si="12"/>
        <v>1</v>
      </c>
      <c r="K46" s="24"/>
      <c r="L46" s="24">
        <f t="shared" si="19"/>
        <v>0</v>
      </c>
      <c r="M46" s="24">
        <f t="shared" si="20"/>
        <v>0</v>
      </c>
      <c r="N46" s="24">
        <f t="shared" si="17"/>
        <v>0</v>
      </c>
      <c r="O46" s="24">
        <f t="shared" si="18"/>
        <v>-9</v>
      </c>
      <c r="P46" s="24"/>
      <c r="Q46" s="24">
        <f t="shared" si="13"/>
        <v>0</v>
      </c>
      <c r="R46" s="24">
        <f t="shared" si="14"/>
        <v>0</v>
      </c>
      <c r="S46" s="24">
        <f t="shared" si="9"/>
        <v>0</v>
      </c>
      <c r="T46" s="24">
        <f t="shared" si="10"/>
        <v>0</v>
      </c>
      <c r="U46" s="24"/>
      <c r="V46" s="24">
        <f t="shared" si="5"/>
        <v>4640251</v>
      </c>
      <c r="W46" s="24">
        <f t="shared" si="6"/>
        <v>268666</v>
      </c>
      <c r="X46" s="24">
        <f t="shared" si="7"/>
        <v>4371585</v>
      </c>
      <c r="Y46" s="24">
        <f t="shared" si="8"/>
        <v>18017243</v>
      </c>
    </row>
    <row r="47" spans="1:26" x14ac:dyDescent="0.25">
      <c r="A47">
        <f t="shared" si="0"/>
        <v>34</v>
      </c>
      <c r="B47" s="24">
        <f t="shared" si="1"/>
        <v>4640251</v>
      </c>
      <c r="C47" s="24">
        <f t="shared" si="2"/>
        <v>216207</v>
      </c>
      <c r="D47" s="24">
        <f t="shared" si="3"/>
        <v>4424044</v>
      </c>
      <c r="E47" s="24">
        <f t="shared" si="4"/>
        <v>13593207</v>
      </c>
      <c r="F47" s="24"/>
      <c r="G47" s="24">
        <f t="shared" si="15"/>
        <v>0</v>
      </c>
      <c r="H47" s="24">
        <f t="shared" si="16"/>
        <v>0</v>
      </c>
      <c r="I47" s="24">
        <f t="shared" si="11"/>
        <v>0</v>
      </c>
      <c r="J47" s="24">
        <f t="shared" si="12"/>
        <v>1</v>
      </c>
      <c r="K47" s="24"/>
      <c r="L47" s="24">
        <f t="shared" si="19"/>
        <v>0</v>
      </c>
      <c r="M47" s="24">
        <f t="shared" si="20"/>
        <v>0</v>
      </c>
      <c r="N47" s="24">
        <f t="shared" si="17"/>
        <v>0</v>
      </c>
      <c r="O47" s="24">
        <f t="shared" si="18"/>
        <v>-9</v>
      </c>
      <c r="P47" s="24"/>
      <c r="Q47" s="24">
        <f t="shared" si="13"/>
        <v>0</v>
      </c>
      <c r="R47" s="24">
        <f t="shared" si="14"/>
        <v>0</v>
      </c>
      <c r="S47" s="24">
        <f t="shared" si="9"/>
        <v>0</v>
      </c>
      <c r="T47" s="24">
        <f t="shared" si="10"/>
        <v>0</v>
      </c>
      <c r="U47" s="24"/>
      <c r="V47" s="24">
        <f t="shared" si="5"/>
        <v>4640251</v>
      </c>
      <c r="W47" s="24">
        <f t="shared" si="6"/>
        <v>216207</v>
      </c>
      <c r="X47" s="24">
        <f t="shared" si="7"/>
        <v>4424044</v>
      </c>
      <c r="Y47" s="24">
        <f t="shared" si="8"/>
        <v>13593199</v>
      </c>
    </row>
    <row r="48" spans="1:26" x14ac:dyDescent="0.25">
      <c r="A48">
        <f t="shared" si="0"/>
        <v>35</v>
      </c>
      <c r="B48" s="24">
        <f t="shared" si="1"/>
        <v>4640251</v>
      </c>
      <c r="C48" s="24">
        <f t="shared" si="2"/>
        <v>163118</v>
      </c>
      <c r="D48" s="24">
        <f t="shared" si="3"/>
        <v>4477133</v>
      </c>
      <c r="E48" s="24">
        <f t="shared" si="4"/>
        <v>9116074</v>
      </c>
      <c r="F48" s="24"/>
      <c r="G48" s="24">
        <f t="shared" si="15"/>
        <v>0</v>
      </c>
      <c r="H48" s="24">
        <f t="shared" si="16"/>
        <v>0</v>
      </c>
      <c r="I48" s="24">
        <f t="shared" si="11"/>
        <v>0</v>
      </c>
      <c r="J48" s="24">
        <f t="shared" si="12"/>
        <v>1</v>
      </c>
      <c r="K48" s="24"/>
      <c r="L48" s="24">
        <f t="shared" si="19"/>
        <v>0</v>
      </c>
      <c r="M48" s="24">
        <f t="shared" si="20"/>
        <v>0</v>
      </c>
      <c r="N48" s="24">
        <f t="shared" si="17"/>
        <v>0</v>
      </c>
      <c r="O48" s="24">
        <f t="shared" si="18"/>
        <v>-9</v>
      </c>
      <c r="P48" s="24"/>
      <c r="Q48" s="24">
        <f t="shared" si="13"/>
        <v>0</v>
      </c>
      <c r="R48" s="24">
        <f t="shared" si="14"/>
        <v>0</v>
      </c>
      <c r="S48" s="24">
        <f t="shared" si="9"/>
        <v>0</v>
      </c>
      <c r="T48" s="24">
        <f t="shared" si="10"/>
        <v>0</v>
      </c>
      <c r="U48" s="24"/>
      <c r="V48" s="24">
        <f t="shared" si="5"/>
        <v>4640251</v>
      </c>
      <c r="W48" s="24">
        <f t="shared" si="6"/>
        <v>163118</v>
      </c>
      <c r="X48" s="24">
        <f t="shared" si="7"/>
        <v>4477133</v>
      </c>
      <c r="Y48" s="24">
        <f t="shared" si="8"/>
        <v>9116066</v>
      </c>
    </row>
    <row r="49" spans="1:26" x14ac:dyDescent="0.25">
      <c r="A49">
        <f t="shared" si="0"/>
        <v>36</v>
      </c>
      <c r="B49" s="24">
        <f t="shared" si="1"/>
        <v>4640251</v>
      </c>
      <c r="C49" s="24">
        <f t="shared" si="2"/>
        <v>109393</v>
      </c>
      <c r="D49" s="24">
        <f t="shared" si="3"/>
        <v>4530858</v>
      </c>
      <c r="E49" s="24">
        <f t="shared" si="4"/>
        <v>4585216</v>
      </c>
      <c r="F49" s="24"/>
      <c r="G49" s="24">
        <f t="shared" si="15"/>
        <v>0</v>
      </c>
      <c r="H49" s="24">
        <f t="shared" si="16"/>
        <v>0</v>
      </c>
      <c r="I49" s="24">
        <f t="shared" si="11"/>
        <v>0</v>
      </c>
      <c r="J49" s="24">
        <f t="shared" si="12"/>
        <v>1</v>
      </c>
      <c r="K49" s="24"/>
      <c r="L49" s="24">
        <f t="shared" si="19"/>
        <v>0</v>
      </c>
      <c r="M49" s="24">
        <f t="shared" si="20"/>
        <v>0</v>
      </c>
      <c r="N49" s="24">
        <f t="shared" si="17"/>
        <v>0</v>
      </c>
      <c r="O49" s="24">
        <f t="shared" si="18"/>
        <v>-9</v>
      </c>
      <c r="P49" s="24"/>
      <c r="Q49" s="24">
        <f t="shared" si="13"/>
        <v>0</v>
      </c>
      <c r="R49" s="24">
        <f t="shared" si="14"/>
        <v>0</v>
      </c>
      <c r="S49" s="24">
        <f t="shared" si="9"/>
        <v>0</v>
      </c>
      <c r="T49" s="24">
        <f t="shared" si="10"/>
        <v>0</v>
      </c>
      <c r="U49" s="24"/>
      <c r="V49" s="24">
        <f t="shared" si="5"/>
        <v>4640251</v>
      </c>
      <c r="W49" s="24">
        <f t="shared" si="6"/>
        <v>109393</v>
      </c>
      <c r="X49" s="24">
        <f t="shared" si="7"/>
        <v>4530858</v>
      </c>
      <c r="Y49" s="24">
        <f t="shared" si="8"/>
        <v>4585208</v>
      </c>
      <c r="Z49" s="47"/>
    </row>
    <row r="50" spans="1:26" x14ac:dyDescent="0.25">
      <c r="A50">
        <f t="shared" si="0"/>
        <v>37</v>
      </c>
      <c r="B50" s="24">
        <f>IF($A50-1&gt;C$10,0,ROUND(PMT(C$9%,C$10,-C$8),0))+11</f>
        <v>4640262</v>
      </c>
      <c r="C50" s="24">
        <f t="shared" si="2"/>
        <v>55023</v>
      </c>
      <c r="D50" s="24">
        <f t="shared" si="3"/>
        <v>4585239</v>
      </c>
      <c r="E50" s="24">
        <f t="shared" si="4"/>
        <v>-23</v>
      </c>
      <c r="F50" s="24"/>
      <c r="G50" s="24">
        <f t="shared" si="15"/>
        <v>0</v>
      </c>
      <c r="H50" s="24">
        <f t="shared" si="16"/>
        <v>0</v>
      </c>
      <c r="I50" s="24">
        <f t="shared" si="11"/>
        <v>0</v>
      </c>
      <c r="J50" s="24">
        <f t="shared" si="12"/>
        <v>1</v>
      </c>
      <c r="K50" s="24"/>
      <c r="L50" s="24">
        <f t="shared" si="19"/>
        <v>0</v>
      </c>
      <c r="M50" s="24">
        <f t="shared" si="20"/>
        <v>0</v>
      </c>
      <c r="N50" s="24">
        <f t="shared" si="17"/>
        <v>0</v>
      </c>
      <c r="O50" s="24">
        <f t="shared" si="18"/>
        <v>-9</v>
      </c>
      <c r="P50" s="24"/>
      <c r="Q50" s="24">
        <f t="shared" si="13"/>
        <v>0</v>
      </c>
      <c r="R50" s="24">
        <f t="shared" si="14"/>
        <v>0</v>
      </c>
      <c r="S50" s="24">
        <f t="shared" si="9"/>
        <v>0</v>
      </c>
      <c r="T50" s="24">
        <f t="shared" si="10"/>
        <v>0</v>
      </c>
      <c r="U50" s="24"/>
      <c r="V50" s="24">
        <f>+B50+G50+L50+Q50</f>
        <v>4640262</v>
      </c>
      <c r="W50" s="24">
        <f t="shared" si="6"/>
        <v>55023</v>
      </c>
      <c r="X50" s="24">
        <f t="shared" si="7"/>
        <v>4585239</v>
      </c>
      <c r="Y50" s="24">
        <f t="shared" si="8"/>
        <v>-31</v>
      </c>
    </row>
    <row r="51" spans="1:26" x14ac:dyDescent="0.25">
      <c r="A51">
        <f t="shared" si="0"/>
        <v>38</v>
      </c>
      <c r="B51" s="24"/>
      <c r="C51" s="24"/>
      <c r="D51" s="24"/>
      <c r="E51" s="24"/>
      <c r="F51" s="24"/>
      <c r="G51" s="24">
        <f t="shared" si="15"/>
        <v>0</v>
      </c>
      <c r="H51" s="24">
        <f t="shared" si="16"/>
        <v>0</v>
      </c>
      <c r="I51" s="24">
        <f t="shared" si="11"/>
        <v>0</v>
      </c>
      <c r="J51" s="24">
        <f t="shared" si="12"/>
        <v>1</v>
      </c>
      <c r="K51" s="24"/>
      <c r="L51" s="24">
        <f t="shared" si="19"/>
        <v>0</v>
      </c>
      <c r="M51" s="24">
        <f t="shared" si="20"/>
        <v>0</v>
      </c>
      <c r="N51" s="24">
        <f t="shared" si="17"/>
        <v>0</v>
      </c>
      <c r="O51" s="24">
        <f t="shared" si="18"/>
        <v>-9</v>
      </c>
      <c r="P51" s="24"/>
      <c r="Q51" s="24">
        <f t="shared" si="13"/>
        <v>0</v>
      </c>
      <c r="R51" s="24">
        <f t="shared" si="14"/>
        <v>0</v>
      </c>
      <c r="S51" s="24">
        <f t="shared" si="9"/>
        <v>0</v>
      </c>
      <c r="T51" s="24">
        <f t="shared" si="10"/>
        <v>0</v>
      </c>
      <c r="U51" s="24"/>
      <c r="V51" s="24">
        <f t="shared" si="5"/>
        <v>0</v>
      </c>
      <c r="W51" s="24">
        <f t="shared" si="6"/>
        <v>0</v>
      </c>
      <c r="X51" s="24">
        <f t="shared" si="7"/>
        <v>0</v>
      </c>
      <c r="Y51" s="24">
        <f t="shared" si="8"/>
        <v>-8</v>
      </c>
    </row>
    <row r="52" spans="1:26" x14ac:dyDescent="0.25">
      <c r="A52">
        <f t="shared" si="0"/>
        <v>39</v>
      </c>
      <c r="B52" s="24"/>
      <c r="C52" s="24"/>
      <c r="D52" s="24"/>
      <c r="E52" s="24"/>
      <c r="F52" s="24"/>
      <c r="G52" s="24">
        <f t="shared" si="15"/>
        <v>0</v>
      </c>
      <c r="H52" s="24">
        <f t="shared" si="16"/>
        <v>0</v>
      </c>
      <c r="I52" s="24">
        <f t="shared" si="11"/>
        <v>0</v>
      </c>
      <c r="J52" s="24">
        <f t="shared" si="12"/>
        <v>1</v>
      </c>
      <c r="K52" s="24"/>
      <c r="L52" s="24">
        <f t="shared" si="19"/>
        <v>0</v>
      </c>
      <c r="M52" s="24">
        <f t="shared" si="20"/>
        <v>0</v>
      </c>
      <c r="N52" s="24">
        <f t="shared" si="17"/>
        <v>0</v>
      </c>
      <c r="O52" s="24">
        <f t="shared" si="18"/>
        <v>-9</v>
      </c>
      <c r="P52" s="24"/>
      <c r="Q52" s="24">
        <f t="shared" si="13"/>
        <v>0</v>
      </c>
      <c r="R52" s="24">
        <f t="shared" si="14"/>
        <v>0</v>
      </c>
      <c r="S52" s="24">
        <f t="shared" si="9"/>
        <v>0</v>
      </c>
      <c r="T52" s="24">
        <f t="shared" si="10"/>
        <v>0</v>
      </c>
      <c r="U52" s="24"/>
      <c r="V52" s="24">
        <f t="shared" si="5"/>
        <v>0</v>
      </c>
      <c r="W52" s="24">
        <f t="shared" si="6"/>
        <v>0</v>
      </c>
      <c r="X52" s="24">
        <f t="shared" si="7"/>
        <v>0</v>
      </c>
      <c r="Y52" s="24">
        <f t="shared" si="8"/>
        <v>-8</v>
      </c>
    </row>
    <row r="53" spans="1:26" x14ac:dyDescent="0.25">
      <c r="A53">
        <f t="shared" si="0"/>
        <v>40</v>
      </c>
      <c r="B53" s="24"/>
      <c r="C53" s="24"/>
      <c r="D53" s="24"/>
      <c r="E53" s="24"/>
      <c r="F53" s="24"/>
      <c r="G53" s="24">
        <f t="shared" si="15"/>
        <v>0</v>
      </c>
      <c r="H53" s="24">
        <f t="shared" si="16"/>
        <v>0</v>
      </c>
      <c r="I53" s="24">
        <f t="shared" si="11"/>
        <v>0</v>
      </c>
      <c r="J53" s="24">
        <f t="shared" si="12"/>
        <v>1</v>
      </c>
      <c r="K53" s="24"/>
      <c r="L53" s="24">
        <f t="shared" si="19"/>
        <v>0</v>
      </c>
      <c r="M53" s="24">
        <f t="shared" si="20"/>
        <v>0</v>
      </c>
      <c r="N53" s="24">
        <f t="shared" si="17"/>
        <v>0</v>
      </c>
      <c r="O53" s="24">
        <f t="shared" si="18"/>
        <v>-9</v>
      </c>
      <c r="P53" s="24"/>
      <c r="Q53" s="24">
        <f t="shared" si="13"/>
        <v>0</v>
      </c>
      <c r="R53" s="24">
        <f t="shared" si="14"/>
        <v>0</v>
      </c>
      <c r="S53" s="24">
        <f t="shared" si="9"/>
        <v>0</v>
      </c>
      <c r="T53" s="24">
        <f t="shared" si="10"/>
        <v>0</v>
      </c>
      <c r="U53" s="24"/>
      <c r="V53" s="24">
        <f t="shared" si="5"/>
        <v>0</v>
      </c>
      <c r="W53" s="24">
        <f t="shared" si="6"/>
        <v>0</v>
      </c>
      <c r="X53" s="24">
        <f t="shared" si="7"/>
        <v>0</v>
      </c>
      <c r="Y53" s="24">
        <f t="shared" si="8"/>
        <v>-8</v>
      </c>
    </row>
    <row r="54" spans="1:26" x14ac:dyDescent="0.25">
      <c r="A54">
        <f t="shared" si="0"/>
        <v>41</v>
      </c>
      <c r="B54" s="24"/>
      <c r="C54" s="24"/>
      <c r="D54" s="24"/>
      <c r="E54" s="24"/>
      <c r="F54" s="24"/>
      <c r="G54" s="24">
        <f t="shared" si="15"/>
        <v>0</v>
      </c>
      <c r="H54" s="24">
        <f t="shared" si="16"/>
        <v>0</v>
      </c>
      <c r="I54" s="24">
        <f t="shared" si="11"/>
        <v>0</v>
      </c>
      <c r="J54" s="24">
        <f t="shared" si="12"/>
        <v>1</v>
      </c>
      <c r="K54" s="24"/>
      <c r="L54" s="24">
        <f t="shared" si="19"/>
        <v>0</v>
      </c>
      <c r="M54" s="24">
        <f t="shared" si="20"/>
        <v>0</v>
      </c>
      <c r="N54" s="24">
        <f t="shared" si="17"/>
        <v>0</v>
      </c>
      <c r="O54" s="24">
        <f t="shared" si="18"/>
        <v>-9</v>
      </c>
      <c r="P54" s="24"/>
      <c r="Q54" s="24">
        <f t="shared" si="13"/>
        <v>0</v>
      </c>
      <c r="R54" s="24">
        <f t="shared" si="14"/>
        <v>0</v>
      </c>
      <c r="S54" s="24">
        <f t="shared" si="9"/>
        <v>0</v>
      </c>
      <c r="T54" s="24">
        <f t="shared" si="10"/>
        <v>0</v>
      </c>
      <c r="U54" s="24"/>
      <c r="V54" s="24">
        <f t="shared" si="5"/>
        <v>0</v>
      </c>
      <c r="W54" s="24">
        <f t="shared" si="6"/>
        <v>0</v>
      </c>
      <c r="X54" s="24">
        <f t="shared" si="7"/>
        <v>0</v>
      </c>
      <c r="Y54" s="24">
        <f t="shared" si="8"/>
        <v>-8</v>
      </c>
    </row>
    <row r="55" spans="1:26" x14ac:dyDescent="0.25">
      <c r="A55">
        <f t="shared" si="0"/>
        <v>42</v>
      </c>
      <c r="B55" s="24"/>
      <c r="C55" s="24"/>
      <c r="D55" s="24"/>
      <c r="E55" s="24"/>
      <c r="F55" s="24"/>
      <c r="G55" s="24">
        <f t="shared" si="15"/>
        <v>0</v>
      </c>
      <c r="H55" s="24">
        <f t="shared" si="16"/>
        <v>0</v>
      </c>
      <c r="I55" s="24">
        <f t="shared" si="11"/>
        <v>0</v>
      </c>
      <c r="J55" s="24">
        <f t="shared" si="12"/>
        <v>1</v>
      </c>
      <c r="K55" s="24"/>
      <c r="L55" s="24">
        <f t="shared" si="19"/>
        <v>0</v>
      </c>
      <c r="M55" s="24">
        <f t="shared" si="20"/>
        <v>0</v>
      </c>
      <c r="N55" s="24">
        <f t="shared" si="17"/>
        <v>0</v>
      </c>
      <c r="O55" s="24">
        <f t="shared" si="18"/>
        <v>-9</v>
      </c>
      <c r="P55" s="24"/>
      <c r="Q55" s="24">
        <f t="shared" si="13"/>
        <v>0</v>
      </c>
      <c r="R55" s="24">
        <f t="shared" si="14"/>
        <v>0</v>
      </c>
      <c r="S55" s="24">
        <f t="shared" si="9"/>
        <v>0</v>
      </c>
      <c r="T55" s="24">
        <f t="shared" si="10"/>
        <v>0</v>
      </c>
      <c r="U55" s="24"/>
      <c r="V55" s="24">
        <f t="shared" si="5"/>
        <v>0</v>
      </c>
      <c r="W55" s="24">
        <f t="shared" si="6"/>
        <v>0</v>
      </c>
      <c r="X55" s="24">
        <f t="shared" si="7"/>
        <v>0</v>
      </c>
      <c r="Y55" s="24">
        <f t="shared" si="8"/>
        <v>-8</v>
      </c>
    </row>
    <row r="56" spans="1:26" x14ac:dyDescent="0.25">
      <c r="A56">
        <f t="shared" si="0"/>
        <v>43</v>
      </c>
      <c r="B56" s="24"/>
      <c r="C56" s="24"/>
      <c r="D56" s="24"/>
      <c r="E56" s="24"/>
      <c r="F56" s="24"/>
      <c r="G56" s="24">
        <f t="shared" si="15"/>
        <v>0</v>
      </c>
      <c r="H56" s="24">
        <f t="shared" si="16"/>
        <v>0</v>
      </c>
      <c r="I56" s="24">
        <f t="shared" si="11"/>
        <v>0</v>
      </c>
      <c r="J56" s="24">
        <f t="shared" si="12"/>
        <v>1</v>
      </c>
      <c r="K56" s="24"/>
      <c r="L56" s="24">
        <f t="shared" si="19"/>
        <v>0</v>
      </c>
      <c r="M56" s="24">
        <f t="shared" si="20"/>
        <v>0</v>
      </c>
      <c r="N56" s="24">
        <f t="shared" si="17"/>
        <v>0</v>
      </c>
      <c r="O56" s="24">
        <f t="shared" si="18"/>
        <v>-9</v>
      </c>
      <c r="P56" s="24"/>
      <c r="Q56" s="24">
        <f t="shared" si="13"/>
        <v>0</v>
      </c>
      <c r="R56" s="24">
        <f t="shared" ref="R56:R79" si="21">ROUND(T55*$R$9%,0)</f>
        <v>0</v>
      </c>
      <c r="S56" s="24">
        <f t="shared" ref="S56:S79" si="22">+Q56-R56</f>
        <v>0</v>
      </c>
      <c r="T56" s="24">
        <f t="shared" ref="T56:T79" si="23">+T55-S56</f>
        <v>0</v>
      </c>
      <c r="U56" s="24"/>
      <c r="V56" s="24">
        <f t="shared" si="5"/>
        <v>0</v>
      </c>
      <c r="W56" s="24">
        <f t="shared" si="6"/>
        <v>0</v>
      </c>
      <c r="X56" s="24">
        <f t="shared" si="7"/>
        <v>0</v>
      </c>
      <c r="Y56" s="24">
        <f t="shared" si="8"/>
        <v>-8</v>
      </c>
    </row>
    <row r="57" spans="1:26" x14ac:dyDescent="0.25">
      <c r="A57">
        <f t="shared" si="0"/>
        <v>44</v>
      </c>
      <c r="B57" s="24"/>
      <c r="C57" s="24"/>
      <c r="D57" s="24"/>
      <c r="E57" s="24"/>
      <c r="F57" s="24"/>
      <c r="G57" s="24">
        <f t="shared" si="15"/>
        <v>0</v>
      </c>
      <c r="H57" s="24">
        <f t="shared" si="16"/>
        <v>0</v>
      </c>
      <c r="I57" s="24">
        <f t="shared" si="11"/>
        <v>0</v>
      </c>
      <c r="J57" s="24">
        <f t="shared" si="12"/>
        <v>1</v>
      </c>
      <c r="K57" s="24"/>
      <c r="L57" s="24">
        <f t="shared" si="19"/>
        <v>0</v>
      </c>
      <c r="M57" s="24">
        <f t="shared" si="20"/>
        <v>0</v>
      </c>
      <c r="N57" s="24">
        <f t="shared" ref="N57:N68" si="24">+L57-M57</f>
        <v>0</v>
      </c>
      <c r="O57" s="24">
        <f t="shared" ref="O57:O68" si="25">+O56-N57</f>
        <v>-9</v>
      </c>
      <c r="P57" s="24"/>
      <c r="Q57" s="24">
        <f t="shared" si="13"/>
        <v>0</v>
      </c>
      <c r="R57" s="24">
        <f t="shared" si="21"/>
        <v>0</v>
      </c>
      <c r="S57" s="24">
        <f t="shared" si="22"/>
        <v>0</v>
      </c>
      <c r="T57" s="24">
        <f t="shared" si="23"/>
        <v>0</v>
      </c>
      <c r="U57" s="24"/>
      <c r="V57" s="24">
        <f t="shared" si="5"/>
        <v>0</v>
      </c>
      <c r="W57" s="24">
        <f t="shared" si="6"/>
        <v>0</v>
      </c>
      <c r="X57" s="24">
        <f t="shared" si="7"/>
        <v>0</v>
      </c>
      <c r="Y57" s="24">
        <f t="shared" si="8"/>
        <v>-8</v>
      </c>
    </row>
    <row r="58" spans="1:26" x14ac:dyDescent="0.25">
      <c r="A58">
        <f t="shared" si="0"/>
        <v>45</v>
      </c>
      <c r="B58" s="24"/>
      <c r="C58" s="24"/>
      <c r="D58" s="24"/>
      <c r="E58" s="24"/>
      <c r="F58" s="24"/>
      <c r="G58" s="24">
        <f t="shared" si="15"/>
        <v>0</v>
      </c>
      <c r="H58" s="24">
        <f t="shared" si="16"/>
        <v>0</v>
      </c>
      <c r="I58" s="24">
        <f t="shared" si="11"/>
        <v>0</v>
      </c>
      <c r="J58" s="24">
        <f t="shared" si="12"/>
        <v>1</v>
      </c>
      <c r="K58" s="24"/>
      <c r="L58" s="24">
        <f t="shared" si="19"/>
        <v>0</v>
      </c>
      <c r="M58" s="24">
        <f t="shared" si="20"/>
        <v>0</v>
      </c>
      <c r="N58" s="24">
        <f t="shared" si="24"/>
        <v>0</v>
      </c>
      <c r="O58" s="24">
        <f t="shared" si="25"/>
        <v>-9</v>
      </c>
      <c r="P58" s="24"/>
      <c r="Q58" s="24">
        <f t="shared" si="13"/>
        <v>0</v>
      </c>
      <c r="R58" s="24">
        <f t="shared" si="21"/>
        <v>0</v>
      </c>
      <c r="S58" s="24">
        <f t="shared" si="22"/>
        <v>0</v>
      </c>
      <c r="T58" s="24">
        <f t="shared" si="23"/>
        <v>0</v>
      </c>
      <c r="U58" s="24"/>
      <c r="V58" s="24">
        <f t="shared" si="5"/>
        <v>0</v>
      </c>
      <c r="W58" s="24">
        <f t="shared" si="6"/>
        <v>0</v>
      </c>
      <c r="X58" s="24">
        <f t="shared" si="7"/>
        <v>0</v>
      </c>
      <c r="Y58" s="24">
        <f t="shared" si="8"/>
        <v>-8</v>
      </c>
    </row>
    <row r="59" spans="1:26" x14ac:dyDescent="0.25">
      <c r="A59">
        <f t="shared" si="0"/>
        <v>46</v>
      </c>
      <c r="B59" s="24"/>
      <c r="C59" s="24"/>
      <c r="D59" s="24"/>
      <c r="E59" s="24"/>
      <c r="F59" s="24"/>
      <c r="G59" s="24">
        <f t="shared" si="15"/>
        <v>0</v>
      </c>
      <c r="H59" s="24">
        <f t="shared" si="16"/>
        <v>0</v>
      </c>
      <c r="I59" s="24">
        <f t="shared" si="11"/>
        <v>0</v>
      </c>
      <c r="J59" s="24">
        <f t="shared" si="12"/>
        <v>1</v>
      </c>
      <c r="K59" s="24"/>
      <c r="L59" s="24">
        <f t="shared" si="19"/>
        <v>0</v>
      </c>
      <c r="M59" s="24">
        <f t="shared" si="20"/>
        <v>0</v>
      </c>
      <c r="N59" s="24">
        <f t="shared" si="24"/>
        <v>0</v>
      </c>
      <c r="O59" s="24">
        <f t="shared" si="25"/>
        <v>-9</v>
      </c>
      <c r="P59" s="24"/>
      <c r="Q59" s="24">
        <f t="shared" si="13"/>
        <v>0</v>
      </c>
      <c r="R59" s="24">
        <f t="shared" si="21"/>
        <v>0</v>
      </c>
      <c r="S59" s="24">
        <f t="shared" si="22"/>
        <v>0</v>
      </c>
      <c r="T59" s="24">
        <f t="shared" si="23"/>
        <v>0</v>
      </c>
      <c r="U59" s="24"/>
      <c r="V59" s="24">
        <f t="shared" si="5"/>
        <v>0</v>
      </c>
      <c r="W59" s="24">
        <f t="shared" si="6"/>
        <v>0</v>
      </c>
      <c r="X59" s="24">
        <f t="shared" si="7"/>
        <v>0</v>
      </c>
      <c r="Y59" s="24">
        <f t="shared" si="8"/>
        <v>-8</v>
      </c>
    </row>
    <row r="60" spans="1:26" x14ac:dyDescent="0.25">
      <c r="A60">
        <f t="shared" si="0"/>
        <v>47</v>
      </c>
      <c r="B60" s="24"/>
      <c r="C60" s="24"/>
      <c r="D60" s="24"/>
      <c r="E60" s="24"/>
      <c r="F60" s="24"/>
      <c r="G60" s="24">
        <f t="shared" si="15"/>
        <v>0</v>
      </c>
      <c r="H60" s="24">
        <f t="shared" si="16"/>
        <v>0</v>
      </c>
      <c r="I60" s="24">
        <f t="shared" si="11"/>
        <v>0</v>
      </c>
      <c r="J60" s="24">
        <f t="shared" si="12"/>
        <v>1</v>
      </c>
      <c r="K60" s="24"/>
      <c r="L60" s="24">
        <f t="shared" si="19"/>
        <v>0</v>
      </c>
      <c r="M60" s="24">
        <f t="shared" si="20"/>
        <v>0</v>
      </c>
      <c r="N60" s="24">
        <f t="shared" si="24"/>
        <v>0</v>
      </c>
      <c r="O60" s="24">
        <f t="shared" si="25"/>
        <v>-9</v>
      </c>
      <c r="P60" s="24"/>
      <c r="Q60" s="24">
        <f t="shared" si="13"/>
        <v>0</v>
      </c>
      <c r="R60" s="24">
        <f t="shared" si="21"/>
        <v>0</v>
      </c>
      <c r="S60" s="24">
        <f t="shared" si="22"/>
        <v>0</v>
      </c>
      <c r="T60" s="24">
        <f t="shared" si="23"/>
        <v>0</v>
      </c>
      <c r="U60" s="24"/>
      <c r="V60" s="24">
        <f t="shared" si="5"/>
        <v>0</v>
      </c>
      <c r="W60" s="24">
        <f t="shared" si="6"/>
        <v>0</v>
      </c>
      <c r="X60" s="24">
        <f t="shared" si="7"/>
        <v>0</v>
      </c>
      <c r="Y60" s="24">
        <f t="shared" si="8"/>
        <v>-8</v>
      </c>
    </row>
    <row r="61" spans="1:26" x14ac:dyDescent="0.25">
      <c r="A61">
        <f t="shared" si="0"/>
        <v>48</v>
      </c>
      <c r="B61" s="24"/>
      <c r="C61" s="24"/>
      <c r="D61" s="24"/>
      <c r="E61" s="24"/>
      <c r="F61" s="24"/>
      <c r="G61" s="24">
        <f t="shared" si="15"/>
        <v>0</v>
      </c>
      <c r="H61" s="24">
        <f t="shared" si="16"/>
        <v>0</v>
      </c>
      <c r="I61" s="24">
        <f t="shared" si="11"/>
        <v>0</v>
      </c>
      <c r="J61" s="24">
        <f t="shared" si="12"/>
        <v>1</v>
      </c>
      <c r="K61" s="24"/>
      <c r="L61" s="24">
        <f t="shared" si="19"/>
        <v>0</v>
      </c>
      <c r="M61" s="24">
        <f t="shared" si="20"/>
        <v>0</v>
      </c>
      <c r="N61" s="24">
        <f t="shared" si="24"/>
        <v>0</v>
      </c>
      <c r="O61" s="24">
        <f t="shared" si="25"/>
        <v>-9</v>
      </c>
      <c r="P61" s="24"/>
      <c r="Q61" s="24">
        <f t="shared" si="13"/>
        <v>0</v>
      </c>
      <c r="R61" s="24">
        <f t="shared" si="21"/>
        <v>0</v>
      </c>
      <c r="S61" s="24">
        <f t="shared" si="22"/>
        <v>0</v>
      </c>
      <c r="T61" s="24">
        <f t="shared" si="23"/>
        <v>0</v>
      </c>
      <c r="U61" s="24"/>
      <c r="V61" s="24">
        <f t="shared" si="5"/>
        <v>0</v>
      </c>
      <c r="W61" s="24">
        <f t="shared" si="6"/>
        <v>0</v>
      </c>
      <c r="X61" s="24">
        <f t="shared" si="7"/>
        <v>0</v>
      </c>
      <c r="Y61" s="24">
        <f t="shared" si="8"/>
        <v>-8</v>
      </c>
    </row>
    <row r="62" spans="1:26" x14ac:dyDescent="0.25">
      <c r="A62">
        <f t="shared" si="0"/>
        <v>49</v>
      </c>
      <c r="B62" s="24"/>
      <c r="C62" s="24"/>
      <c r="D62" s="24"/>
      <c r="E62" s="24"/>
      <c r="F62" s="24"/>
      <c r="G62" s="24">
        <f t="shared" si="15"/>
        <v>0</v>
      </c>
      <c r="H62" s="24">
        <f t="shared" si="16"/>
        <v>0</v>
      </c>
      <c r="I62" s="24">
        <f t="shared" si="11"/>
        <v>0</v>
      </c>
      <c r="J62" s="24">
        <f t="shared" si="12"/>
        <v>1</v>
      </c>
      <c r="K62" s="24"/>
      <c r="L62" s="24">
        <f t="shared" si="19"/>
        <v>0</v>
      </c>
      <c r="M62" s="24">
        <f t="shared" si="20"/>
        <v>0</v>
      </c>
      <c r="N62" s="24">
        <f t="shared" si="24"/>
        <v>0</v>
      </c>
      <c r="O62" s="24">
        <f t="shared" si="25"/>
        <v>-9</v>
      </c>
      <c r="P62" s="24"/>
      <c r="Q62" s="24">
        <f t="shared" si="13"/>
        <v>0</v>
      </c>
      <c r="R62" s="24">
        <f t="shared" si="21"/>
        <v>0</v>
      </c>
      <c r="S62" s="24">
        <f t="shared" si="22"/>
        <v>0</v>
      </c>
      <c r="T62" s="24">
        <f t="shared" si="23"/>
        <v>0</v>
      </c>
      <c r="U62" s="24"/>
      <c r="V62" s="24">
        <f t="shared" si="5"/>
        <v>0</v>
      </c>
      <c r="W62" s="24">
        <f t="shared" si="6"/>
        <v>0</v>
      </c>
      <c r="X62" s="24">
        <f t="shared" si="7"/>
        <v>0</v>
      </c>
      <c r="Y62" s="24">
        <f t="shared" si="8"/>
        <v>-8</v>
      </c>
    </row>
    <row r="63" spans="1:26" x14ac:dyDescent="0.25">
      <c r="A63">
        <f t="shared" si="0"/>
        <v>50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>
        <f t="shared" si="19"/>
        <v>0</v>
      </c>
      <c r="M63" s="24">
        <f t="shared" si="20"/>
        <v>0</v>
      </c>
      <c r="N63" s="24">
        <f t="shared" si="24"/>
        <v>0</v>
      </c>
      <c r="O63" s="24">
        <f t="shared" si="25"/>
        <v>-9</v>
      </c>
      <c r="P63" s="24"/>
      <c r="Q63" s="24">
        <f t="shared" si="13"/>
        <v>0</v>
      </c>
      <c r="R63" s="24">
        <f t="shared" si="21"/>
        <v>0</v>
      </c>
      <c r="S63" s="24">
        <f t="shared" si="22"/>
        <v>0</v>
      </c>
      <c r="T63" s="24">
        <f t="shared" si="23"/>
        <v>0</v>
      </c>
      <c r="U63" s="24"/>
      <c r="V63" s="24">
        <f t="shared" si="5"/>
        <v>0</v>
      </c>
      <c r="W63" s="24">
        <f t="shared" si="6"/>
        <v>0</v>
      </c>
      <c r="X63" s="24">
        <f t="shared" si="7"/>
        <v>0</v>
      </c>
      <c r="Y63" s="24">
        <f t="shared" si="8"/>
        <v>-9</v>
      </c>
    </row>
    <row r="64" spans="1:26" x14ac:dyDescent="0.25">
      <c r="A64">
        <f t="shared" si="0"/>
        <v>51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>
        <f t="shared" si="19"/>
        <v>0</v>
      </c>
      <c r="M64" s="24">
        <f t="shared" si="20"/>
        <v>0</v>
      </c>
      <c r="N64" s="24">
        <f t="shared" si="24"/>
        <v>0</v>
      </c>
      <c r="O64" s="24">
        <f t="shared" si="25"/>
        <v>-9</v>
      </c>
      <c r="P64" s="24"/>
      <c r="Q64" s="24">
        <f t="shared" si="13"/>
        <v>0</v>
      </c>
      <c r="R64" s="24">
        <f t="shared" si="21"/>
        <v>0</v>
      </c>
      <c r="S64" s="24">
        <f t="shared" si="22"/>
        <v>0</v>
      </c>
      <c r="T64" s="24">
        <f t="shared" si="23"/>
        <v>0</v>
      </c>
      <c r="U64" s="24"/>
      <c r="V64" s="24">
        <f t="shared" si="5"/>
        <v>0</v>
      </c>
      <c r="W64" s="24">
        <f t="shared" si="6"/>
        <v>0</v>
      </c>
      <c r="X64" s="24">
        <f t="shared" si="7"/>
        <v>0</v>
      </c>
      <c r="Y64" s="24">
        <f t="shared" si="8"/>
        <v>-9</v>
      </c>
    </row>
    <row r="65" spans="1:25" x14ac:dyDescent="0.25">
      <c r="A65">
        <f t="shared" si="0"/>
        <v>52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>
        <f t="shared" si="19"/>
        <v>0</v>
      </c>
      <c r="M65" s="24">
        <f t="shared" si="20"/>
        <v>0</v>
      </c>
      <c r="N65" s="24">
        <f t="shared" si="24"/>
        <v>0</v>
      </c>
      <c r="O65" s="24">
        <f t="shared" si="25"/>
        <v>-9</v>
      </c>
      <c r="P65" s="24"/>
      <c r="Q65" s="24">
        <f t="shared" si="13"/>
        <v>0</v>
      </c>
      <c r="R65" s="24">
        <f t="shared" si="21"/>
        <v>0</v>
      </c>
      <c r="S65" s="24">
        <f t="shared" si="22"/>
        <v>0</v>
      </c>
      <c r="T65" s="24">
        <f t="shared" si="23"/>
        <v>0</v>
      </c>
      <c r="U65" s="24"/>
      <c r="V65" s="24">
        <f t="shared" si="5"/>
        <v>0</v>
      </c>
      <c r="W65" s="24">
        <f t="shared" si="6"/>
        <v>0</v>
      </c>
      <c r="X65" s="24">
        <f t="shared" si="7"/>
        <v>0</v>
      </c>
      <c r="Y65" s="24">
        <f t="shared" si="8"/>
        <v>-9</v>
      </c>
    </row>
    <row r="66" spans="1:25" x14ac:dyDescent="0.25">
      <c r="A66">
        <f t="shared" si="0"/>
        <v>53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>
        <f t="shared" si="19"/>
        <v>0</v>
      </c>
      <c r="M66" s="24">
        <f t="shared" si="20"/>
        <v>0</v>
      </c>
      <c r="N66" s="24">
        <f t="shared" si="24"/>
        <v>0</v>
      </c>
      <c r="O66" s="24">
        <f t="shared" si="25"/>
        <v>-9</v>
      </c>
      <c r="P66" s="24"/>
      <c r="Q66" s="24">
        <f t="shared" si="13"/>
        <v>0</v>
      </c>
      <c r="R66" s="24">
        <f t="shared" si="21"/>
        <v>0</v>
      </c>
      <c r="S66" s="24">
        <f t="shared" si="22"/>
        <v>0</v>
      </c>
      <c r="T66" s="24">
        <f t="shared" si="23"/>
        <v>0</v>
      </c>
      <c r="U66" s="24"/>
      <c r="V66" s="24">
        <f t="shared" si="5"/>
        <v>0</v>
      </c>
      <c r="W66" s="24">
        <f t="shared" si="6"/>
        <v>0</v>
      </c>
      <c r="X66" s="24">
        <f t="shared" si="7"/>
        <v>0</v>
      </c>
      <c r="Y66" s="24">
        <f t="shared" si="8"/>
        <v>-9</v>
      </c>
    </row>
    <row r="67" spans="1:25" x14ac:dyDescent="0.25">
      <c r="A67">
        <f t="shared" si="0"/>
        <v>54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>
        <f t="shared" si="19"/>
        <v>0</v>
      </c>
      <c r="M67" s="24">
        <f t="shared" si="20"/>
        <v>0</v>
      </c>
      <c r="N67" s="24">
        <f t="shared" si="24"/>
        <v>0</v>
      </c>
      <c r="O67" s="24">
        <f t="shared" si="25"/>
        <v>-9</v>
      </c>
      <c r="P67" s="24"/>
      <c r="Q67" s="24">
        <f t="shared" si="13"/>
        <v>0</v>
      </c>
      <c r="R67" s="24">
        <f t="shared" si="21"/>
        <v>0</v>
      </c>
      <c r="S67" s="24">
        <f t="shared" si="22"/>
        <v>0</v>
      </c>
      <c r="T67" s="24">
        <f t="shared" si="23"/>
        <v>0</v>
      </c>
      <c r="U67" s="24"/>
      <c r="V67" s="24">
        <f t="shared" si="5"/>
        <v>0</v>
      </c>
      <c r="W67" s="24">
        <f t="shared" si="6"/>
        <v>0</v>
      </c>
      <c r="X67" s="24">
        <f t="shared" si="7"/>
        <v>0</v>
      </c>
      <c r="Y67" s="24">
        <f t="shared" si="8"/>
        <v>-9</v>
      </c>
    </row>
    <row r="68" spans="1:25" x14ac:dyDescent="0.25">
      <c r="A68">
        <f t="shared" si="0"/>
        <v>55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>
        <f t="shared" si="19"/>
        <v>0</v>
      </c>
      <c r="M68" s="24">
        <f t="shared" si="20"/>
        <v>0</v>
      </c>
      <c r="N68" s="24">
        <f t="shared" si="24"/>
        <v>0</v>
      </c>
      <c r="O68" s="24">
        <f t="shared" si="25"/>
        <v>-9</v>
      </c>
      <c r="P68" s="24"/>
      <c r="Q68" s="24">
        <f t="shared" si="13"/>
        <v>0</v>
      </c>
      <c r="R68" s="24">
        <f t="shared" si="21"/>
        <v>0</v>
      </c>
      <c r="S68" s="24">
        <f t="shared" si="22"/>
        <v>0</v>
      </c>
      <c r="T68" s="24">
        <f t="shared" si="23"/>
        <v>0</v>
      </c>
      <c r="U68" s="24"/>
      <c r="V68" s="24">
        <f t="shared" si="5"/>
        <v>0</v>
      </c>
      <c r="W68" s="24">
        <f t="shared" si="6"/>
        <v>0</v>
      </c>
      <c r="X68" s="24">
        <f t="shared" si="7"/>
        <v>0</v>
      </c>
      <c r="Y68" s="24">
        <f t="shared" si="8"/>
        <v>-9</v>
      </c>
    </row>
    <row r="69" spans="1:25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>
        <f t="shared" si="13"/>
        <v>0</v>
      </c>
      <c r="R69" s="24">
        <f t="shared" si="21"/>
        <v>0</v>
      </c>
      <c r="S69" s="24">
        <f t="shared" si="22"/>
        <v>0</v>
      </c>
      <c r="T69" s="24">
        <f t="shared" si="23"/>
        <v>0</v>
      </c>
      <c r="U69" s="24"/>
      <c r="V69" s="24">
        <f t="shared" si="5"/>
        <v>0</v>
      </c>
      <c r="W69" s="24">
        <f t="shared" si="6"/>
        <v>0</v>
      </c>
      <c r="X69" s="24">
        <f t="shared" si="7"/>
        <v>0</v>
      </c>
      <c r="Y69" s="24">
        <f t="shared" si="8"/>
        <v>0</v>
      </c>
    </row>
    <row r="70" spans="1:25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>
        <f t="shared" si="13"/>
        <v>0</v>
      </c>
      <c r="R70" s="24">
        <f t="shared" si="21"/>
        <v>0</v>
      </c>
      <c r="S70" s="24">
        <f t="shared" si="22"/>
        <v>0</v>
      </c>
      <c r="T70" s="24">
        <f t="shared" si="23"/>
        <v>0</v>
      </c>
      <c r="U70" s="24"/>
      <c r="V70" s="24">
        <f t="shared" si="5"/>
        <v>0</v>
      </c>
      <c r="W70" s="24">
        <f t="shared" si="6"/>
        <v>0</v>
      </c>
      <c r="X70" s="24">
        <f t="shared" si="7"/>
        <v>0</v>
      </c>
      <c r="Y70" s="24">
        <f t="shared" si="8"/>
        <v>0</v>
      </c>
    </row>
    <row r="71" spans="1:25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>
        <f t="shared" si="13"/>
        <v>0</v>
      </c>
      <c r="R71" s="24">
        <f t="shared" si="21"/>
        <v>0</v>
      </c>
      <c r="S71" s="24">
        <f t="shared" si="22"/>
        <v>0</v>
      </c>
      <c r="T71" s="24">
        <f t="shared" si="23"/>
        <v>0</v>
      </c>
      <c r="U71" s="24"/>
      <c r="V71" s="24">
        <f t="shared" si="5"/>
        <v>0</v>
      </c>
      <c r="W71" s="24">
        <f t="shared" si="6"/>
        <v>0</v>
      </c>
      <c r="X71" s="24">
        <f t="shared" si="7"/>
        <v>0</v>
      </c>
      <c r="Y71" s="24">
        <f t="shared" si="8"/>
        <v>0</v>
      </c>
    </row>
    <row r="72" spans="1:25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>
        <f t="shared" si="13"/>
        <v>0</v>
      </c>
      <c r="R72" s="24">
        <f t="shared" si="21"/>
        <v>0</v>
      </c>
      <c r="S72" s="24">
        <f t="shared" si="22"/>
        <v>0</v>
      </c>
      <c r="T72" s="24">
        <f t="shared" si="23"/>
        <v>0</v>
      </c>
      <c r="U72" s="24"/>
      <c r="V72" s="24">
        <f t="shared" si="5"/>
        <v>0</v>
      </c>
      <c r="W72" s="24">
        <f t="shared" si="6"/>
        <v>0</v>
      </c>
      <c r="X72" s="24">
        <f t="shared" si="7"/>
        <v>0</v>
      </c>
      <c r="Y72" s="24">
        <f t="shared" si="8"/>
        <v>0</v>
      </c>
    </row>
    <row r="73" spans="1:25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>
        <f t="shared" si="13"/>
        <v>0</v>
      </c>
      <c r="R73" s="24">
        <f t="shared" si="21"/>
        <v>0</v>
      </c>
      <c r="S73" s="24">
        <f t="shared" si="22"/>
        <v>0</v>
      </c>
      <c r="T73" s="24">
        <f t="shared" si="23"/>
        <v>0</v>
      </c>
      <c r="U73" s="24"/>
      <c r="V73" s="24">
        <f t="shared" si="5"/>
        <v>0</v>
      </c>
      <c r="W73" s="24">
        <f t="shared" si="6"/>
        <v>0</v>
      </c>
      <c r="X73" s="24">
        <f t="shared" si="7"/>
        <v>0</v>
      </c>
      <c r="Y73" s="24">
        <f t="shared" si="8"/>
        <v>0</v>
      </c>
    </row>
    <row r="74" spans="1:25" x14ac:dyDescent="0.25">
      <c r="B74" s="47"/>
      <c r="C74" s="47"/>
      <c r="D74" s="47"/>
      <c r="E74" s="47"/>
      <c r="G74" s="47"/>
      <c r="H74" s="47"/>
      <c r="I74" s="47"/>
      <c r="J74" s="47"/>
      <c r="L74" s="24"/>
      <c r="M74" s="24"/>
      <c r="N74" s="47"/>
      <c r="O74" s="47"/>
      <c r="Q74" s="24">
        <f t="shared" si="13"/>
        <v>0</v>
      </c>
      <c r="R74" s="24">
        <f t="shared" si="21"/>
        <v>0</v>
      </c>
      <c r="S74" s="24">
        <f t="shared" si="22"/>
        <v>0</v>
      </c>
      <c r="T74" s="24">
        <f t="shared" si="23"/>
        <v>0</v>
      </c>
      <c r="V74" s="24">
        <f t="shared" si="5"/>
        <v>0</v>
      </c>
      <c r="W74" s="24">
        <f t="shared" si="6"/>
        <v>0</v>
      </c>
      <c r="X74" s="24">
        <f t="shared" si="7"/>
        <v>0</v>
      </c>
      <c r="Y74" s="24">
        <f t="shared" si="8"/>
        <v>0</v>
      </c>
    </row>
    <row r="75" spans="1:25" x14ac:dyDescent="0.25">
      <c r="B75" s="47"/>
      <c r="C75" s="47"/>
      <c r="D75" s="47"/>
      <c r="E75" s="47"/>
      <c r="G75" s="47"/>
      <c r="H75" s="47"/>
      <c r="I75" s="47"/>
      <c r="J75" s="47"/>
      <c r="L75" s="24"/>
      <c r="M75" s="24"/>
      <c r="N75" s="47"/>
      <c r="O75" s="47"/>
      <c r="Q75" s="24">
        <f t="shared" si="13"/>
        <v>0</v>
      </c>
      <c r="R75" s="24">
        <f t="shared" si="21"/>
        <v>0</v>
      </c>
      <c r="S75" s="24">
        <f t="shared" si="22"/>
        <v>0</v>
      </c>
      <c r="T75" s="24">
        <f t="shared" si="23"/>
        <v>0</v>
      </c>
      <c r="V75" s="24">
        <f t="shared" si="5"/>
        <v>0</v>
      </c>
      <c r="W75" s="24">
        <f t="shared" si="6"/>
        <v>0</v>
      </c>
      <c r="X75" s="24">
        <f t="shared" si="7"/>
        <v>0</v>
      </c>
      <c r="Y75" s="24">
        <f t="shared" si="8"/>
        <v>0</v>
      </c>
    </row>
    <row r="76" spans="1:25" x14ac:dyDescent="0.25">
      <c r="B76" s="47"/>
      <c r="C76" s="47"/>
      <c r="D76" s="47"/>
      <c r="E76" s="47"/>
      <c r="G76" s="47"/>
      <c r="H76" s="47"/>
      <c r="I76" s="47"/>
      <c r="J76" s="47"/>
      <c r="L76" s="24"/>
      <c r="M76" s="24"/>
      <c r="N76" s="47"/>
      <c r="O76" s="47"/>
      <c r="Q76" s="24">
        <f t="shared" si="13"/>
        <v>0</v>
      </c>
      <c r="R76" s="24">
        <f t="shared" si="21"/>
        <v>0</v>
      </c>
      <c r="S76" s="24">
        <f t="shared" si="22"/>
        <v>0</v>
      </c>
      <c r="T76" s="24">
        <f t="shared" si="23"/>
        <v>0</v>
      </c>
      <c r="V76" s="24">
        <f t="shared" si="5"/>
        <v>0</v>
      </c>
      <c r="W76" s="24">
        <f t="shared" si="6"/>
        <v>0</v>
      </c>
      <c r="X76" s="24">
        <f t="shared" si="7"/>
        <v>0</v>
      </c>
      <c r="Y76" s="24">
        <f t="shared" si="8"/>
        <v>0</v>
      </c>
    </row>
    <row r="77" spans="1:25" x14ac:dyDescent="0.25">
      <c r="B77" s="47"/>
      <c r="C77" s="47"/>
      <c r="D77" s="47"/>
      <c r="E77" s="47"/>
      <c r="G77" s="47"/>
      <c r="H77" s="47"/>
      <c r="I77" s="47"/>
      <c r="J77" s="47"/>
      <c r="L77" s="24"/>
      <c r="M77" s="24"/>
      <c r="N77" s="47"/>
      <c r="O77" s="47"/>
      <c r="Q77" s="24">
        <f t="shared" si="13"/>
        <v>0</v>
      </c>
      <c r="R77" s="24">
        <f t="shared" si="21"/>
        <v>0</v>
      </c>
      <c r="S77" s="24">
        <f t="shared" si="22"/>
        <v>0</v>
      </c>
      <c r="T77" s="24">
        <f t="shared" si="23"/>
        <v>0</v>
      </c>
      <c r="V77" s="24">
        <f t="shared" si="5"/>
        <v>0</v>
      </c>
      <c r="W77" s="24">
        <f t="shared" si="6"/>
        <v>0</v>
      </c>
      <c r="X77" s="24">
        <f t="shared" si="7"/>
        <v>0</v>
      </c>
      <c r="Y77" s="24">
        <f t="shared" si="8"/>
        <v>0</v>
      </c>
    </row>
    <row r="78" spans="1:25" x14ac:dyDescent="0.25">
      <c r="B78" s="47"/>
      <c r="C78" s="47"/>
      <c r="D78" s="47"/>
      <c r="E78" s="47"/>
      <c r="G78" s="47"/>
      <c r="H78" s="47"/>
      <c r="I78" s="47"/>
      <c r="J78" s="47"/>
      <c r="L78" s="24"/>
      <c r="M78" s="24"/>
      <c r="N78" s="47"/>
      <c r="O78" s="47"/>
      <c r="Q78" s="24">
        <f t="shared" si="13"/>
        <v>0</v>
      </c>
      <c r="R78" s="24">
        <f t="shared" si="21"/>
        <v>0</v>
      </c>
      <c r="S78" s="24">
        <f t="shared" si="22"/>
        <v>0</v>
      </c>
      <c r="T78" s="24">
        <f t="shared" si="23"/>
        <v>0</v>
      </c>
      <c r="V78" s="24">
        <f t="shared" si="5"/>
        <v>0</v>
      </c>
      <c r="W78" s="24">
        <f t="shared" si="6"/>
        <v>0</v>
      </c>
      <c r="X78" s="24">
        <f t="shared" si="7"/>
        <v>0</v>
      </c>
      <c r="Y78" s="24">
        <f t="shared" si="8"/>
        <v>0</v>
      </c>
    </row>
    <row r="79" spans="1:25" x14ac:dyDescent="0.25">
      <c r="B79" s="47"/>
      <c r="C79" s="47"/>
      <c r="D79" s="47"/>
      <c r="E79" s="47"/>
      <c r="G79" s="47"/>
      <c r="H79" s="47"/>
      <c r="I79" s="47"/>
      <c r="J79" s="47"/>
      <c r="L79" s="24"/>
      <c r="M79" s="47"/>
      <c r="N79" s="47"/>
      <c r="O79" s="47"/>
      <c r="Q79" s="24">
        <f t="shared" si="13"/>
        <v>0</v>
      </c>
      <c r="R79" s="24">
        <f t="shared" si="21"/>
        <v>0</v>
      </c>
      <c r="S79" s="24">
        <f t="shared" si="22"/>
        <v>0</v>
      </c>
      <c r="T79" s="24">
        <f t="shared" si="23"/>
        <v>0</v>
      </c>
      <c r="V79" s="24">
        <f t="shared" si="5"/>
        <v>0</v>
      </c>
      <c r="W79" s="24">
        <f t="shared" si="6"/>
        <v>0</v>
      </c>
      <c r="X79" s="24">
        <f t="shared" si="7"/>
        <v>0</v>
      </c>
      <c r="Y79" s="24">
        <f t="shared" si="8"/>
        <v>0</v>
      </c>
    </row>
    <row r="80" spans="1:25" x14ac:dyDescent="0.25">
      <c r="B80" s="47"/>
      <c r="C80" s="47"/>
      <c r="D80" s="47"/>
      <c r="E80" s="47"/>
      <c r="G80" s="47"/>
      <c r="H80" s="47"/>
      <c r="I80" s="47"/>
      <c r="J80" s="47"/>
      <c r="L80" s="24"/>
      <c r="M80" s="47"/>
      <c r="N80" s="47"/>
      <c r="O80" s="47"/>
      <c r="V80" s="47"/>
      <c r="W80" s="47"/>
      <c r="X80" s="47"/>
    </row>
    <row r="81" spans="2:24" x14ac:dyDescent="0.25">
      <c r="B81" s="47"/>
      <c r="C81" s="47"/>
      <c r="D81" s="47"/>
      <c r="E81" s="47"/>
      <c r="G81" s="47"/>
      <c r="H81" s="47"/>
      <c r="I81" s="47"/>
      <c r="J81" s="47"/>
      <c r="L81" s="24"/>
      <c r="M81" s="47"/>
      <c r="N81" s="47"/>
      <c r="O81" s="47"/>
      <c r="V81" s="47"/>
      <c r="W81" s="47"/>
      <c r="X81" s="47"/>
    </row>
    <row r="82" spans="2:24" x14ac:dyDescent="0.25">
      <c r="B82" s="47"/>
      <c r="C82" s="47"/>
      <c r="D82" s="47"/>
      <c r="E82" s="47"/>
      <c r="G82" s="47"/>
      <c r="H82" s="47"/>
      <c r="I82" s="47"/>
      <c r="J82" s="47"/>
      <c r="L82" s="24"/>
      <c r="M82" s="47"/>
      <c r="N82" s="47"/>
      <c r="O82" s="47"/>
      <c r="V82" s="47"/>
      <c r="W82" s="47"/>
      <c r="X82" s="47"/>
    </row>
    <row r="83" spans="2:24" x14ac:dyDescent="0.25">
      <c r="B83" s="47"/>
      <c r="C83" s="47"/>
      <c r="D83" s="47"/>
      <c r="E83" s="47"/>
      <c r="G83" s="47"/>
      <c r="H83" s="47"/>
      <c r="I83" s="47"/>
      <c r="J83" s="47"/>
      <c r="L83" s="24"/>
      <c r="M83" s="47"/>
      <c r="N83" s="47"/>
      <c r="O83" s="47"/>
      <c r="V83" s="47"/>
      <c r="W83" s="47"/>
      <c r="X83" s="47"/>
    </row>
    <row r="84" spans="2:24" x14ac:dyDescent="0.25">
      <c r="B84" s="47"/>
      <c r="C84" s="47"/>
      <c r="D84" s="47"/>
      <c r="E84" s="47"/>
      <c r="G84" s="47"/>
      <c r="H84" s="47"/>
      <c r="I84" s="47"/>
      <c r="J84" s="47"/>
      <c r="L84" s="24"/>
      <c r="M84" s="47"/>
      <c r="N84" s="47"/>
      <c r="O84" s="47"/>
      <c r="V84" s="47"/>
      <c r="W84" s="47"/>
      <c r="X84" s="47"/>
    </row>
    <row r="85" spans="2:24" x14ac:dyDescent="0.25">
      <c r="B85" s="47"/>
      <c r="C85" s="47"/>
      <c r="D85" s="47"/>
      <c r="E85" s="47"/>
      <c r="G85" s="47"/>
      <c r="H85" s="47"/>
      <c r="I85" s="47"/>
      <c r="J85" s="47"/>
      <c r="L85" s="24"/>
      <c r="M85" s="47"/>
      <c r="N85" s="47"/>
      <c r="O85" s="47"/>
      <c r="V85" s="47"/>
      <c r="W85" s="47"/>
      <c r="X85" s="47"/>
    </row>
    <row r="86" spans="2:24" x14ac:dyDescent="0.25">
      <c r="B86" s="47"/>
      <c r="C86" s="47"/>
      <c r="D86" s="47"/>
      <c r="E86" s="47"/>
      <c r="G86" s="47"/>
      <c r="H86" s="47"/>
      <c r="I86" s="47"/>
      <c r="J86" s="47"/>
      <c r="L86" s="24"/>
      <c r="M86" s="47"/>
      <c r="N86" s="47"/>
      <c r="O86" s="47"/>
      <c r="V86" s="47"/>
      <c r="W86" s="47"/>
      <c r="X86" s="47"/>
    </row>
    <row r="87" spans="2:24" x14ac:dyDescent="0.25">
      <c r="B87" s="47"/>
      <c r="C87" s="47"/>
      <c r="D87" s="47"/>
      <c r="E87" s="47"/>
      <c r="G87" s="47"/>
      <c r="H87" s="47"/>
      <c r="I87" s="47"/>
      <c r="J87" s="47"/>
      <c r="L87" s="24"/>
      <c r="M87" s="47"/>
      <c r="N87" s="47"/>
      <c r="O87" s="47"/>
      <c r="V87" s="47"/>
      <c r="W87" s="47"/>
      <c r="X87" s="47"/>
    </row>
    <row r="88" spans="2:24" x14ac:dyDescent="0.25">
      <c r="B88" s="47"/>
      <c r="C88" s="47"/>
      <c r="D88" s="47"/>
      <c r="E88" s="47"/>
      <c r="G88" s="47"/>
      <c r="H88" s="47"/>
      <c r="I88" s="47"/>
      <c r="J88" s="47"/>
      <c r="L88" s="24"/>
      <c r="M88" s="47"/>
      <c r="N88" s="47"/>
      <c r="O88" s="47"/>
      <c r="V88" s="47"/>
      <c r="W88" s="47"/>
      <c r="X88" s="47"/>
    </row>
    <row r="89" spans="2:24" x14ac:dyDescent="0.25">
      <c r="B89" s="47"/>
      <c r="C89" s="47"/>
      <c r="D89" s="47"/>
      <c r="E89" s="47"/>
      <c r="G89" s="47"/>
      <c r="H89" s="47"/>
      <c r="I89" s="47"/>
      <c r="J89" s="47"/>
      <c r="L89" s="24"/>
      <c r="M89" s="47"/>
      <c r="N89" s="47"/>
      <c r="O89" s="47"/>
      <c r="V89" s="47"/>
      <c r="W89" s="47"/>
      <c r="X89" s="47"/>
    </row>
    <row r="90" spans="2:24" x14ac:dyDescent="0.25">
      <c r="B90" s="47"/>
      <c r="C90" s="47"/>
      <c r="D90" s="47"/>
      <c r="E90" s="47"/>
      <c r="L90" s="24"/>
    </row>
    <row r="91" spans="2:24" x14ac:dyDescent="0.25">
      <c r="B91" s="47"/>
      <c r="C91" s="47"/>
      <c r="D91" s="47"/>
      <c r="E91" s="47"/>
      <c r="L91" s="24"/>
    </row>
    <row r="92" spans="2:24" x14ac:dyDescent="0.25">
      <c r="B92" s="47"/>
      <c r="C92" s="47"/>
      <c r="D92" s="47"/>
      <c r="E92" s="47"/>
      <c r="L92" s="24"/>
    </row>
    <row r="93" spans="2:24" x14ac:dyDescent="0.25">
      <c r="B93" s="47"/>
      <c r="C93" s="47"/>
      <c r="D93" s="47"/>
      <c r="E93" s="47"/>
      <c r="L93" s="24"/>
    </row>
    <row r="94" spans="2:24" x14ac:dyDescent="0.25">
      <c r="B94" s="47"/>
      <c r="C94" s="47"/>
      <c r="D94" s="47"/>
      <c r="E94" s="47"/>
      <c r="L94" s="24"/>
    </row>
    <row r="95" spans="2:24" x14ac:dyDescent="0.25">
      <c r="B95" s="47"/>
      <c r="C95" s="47"/>
      <c r="D95" s="47"/>
      <c r="E95" s="47"/>
      <c r="L95" s="24"/>
    </row>
    <row r="96" spans="2:24" x14ac:dyDescent="0.25">
      <c r="B96" s="47"/>
      <c r="C96" s="47"/>
      <c r="D96" s="47"/>
      <c r="E96" s="47"/>
      <c r="L96" s="24"/>
    </row>
    <row r="97" spans="2:5" x14ac:dyDescent="0.25">
      <c r="B97" s="47"/>
      <c r="C97" s="47"/>
      <c r="D97" s="47"/>
      <c r="E97" s="47"/>
    </row>
    <row r="98" spans="2:5" x14ac:dyDescent="0.25">
      <c r="B98" s="47"/>
      <c r="C98" s="47"/>
      <c r="D98" s="47"/>
      <c r="E98" s="47"/>
    </row>
    <row r="99" spans="2:5" x14ac:dyDescent="0.25">
      <c r="B99" s="47"/>
      <c r="C99" s="47"/>
      <c r="D99" s="47"/>
      <c r="E99" s="47"/>
    </row>
    <row r="100" spans="2:5" x14ac:dyDescent="0.25">
      <c r="B100" s="47"/>
      <c r="C100" s="47"/>
      <c r="D100" s="47"/>
      <c r="E100" s="47"/>
    </row>
    <row r="101" spans="2:5" x14ac:dyDescent="0.25">
      <c r="B101" s="47"/>
      <c r="C101" s="47"/>
      <c r="D101" s="47"/>
      <c r="E101" s="47"/>
    </row>
    <row r="102" spans="2:5" x14ac:dyDescent="0.25">
      <c r="B102" s="47"/>
      <c r="C102" s="47"/>
      <c r="D102" s="47"/>
      <c r="E102" s="47"/>
    </row>
    <row r="103" spans="2:5" x14ac:dyDescent="0.25">
      <c r="B103" s="47"/>
      <c r="C103" s="47"/>
      <c r="D103" s="47"/>
      <c r="E103" s="47"/>
    </row>
    <row r="104" spans="2:5" x14ac:dyDescent="0.25">
      <c r="B104" s="47"/>
      <c r="C104" s="47"/>
      <c r="D104" s="47"/>
      <c r="E104" s="47"/>
    </row>
    <row r="105" spans="2:5" x14ac:dyDescent="0.25">
      <c r="B105" s="47"/>
      <c r="C105" s="47"/>
      <c r="D105" s="47"/>
      <c r="E105" s="47"/>
    </row>
    <row r="106" spans="2:5" x14ac:dyDescent="0.25">
      <c r="B106" s="47"/>
      <c r="C106" s="47"/>
      <c r="D106" s="47"/>
      <c r="E106" s="47"/>
    </row>
    <row r="107" spans="2:5" x14ac:dyDescent="0.25">
      <c r="B107" s="47"/>
      <c r="C107" s="47"/>
      <c r="D107" s="47"/>
      <c r="E107" s="47"/>
    </row>
    <row r="108" spans="2:5" x14ac:dyDescent="0.25">
      <c r="B108" s="47"/>
      <c r="C108" s="47"/>
      <c r="D108" s="47"/>
      <c r="E108" s="47"/>
    </row>
    <row r="109" spans="2:5" x14ac:dyDescent="0.25">
      <c r="B109" s="47"/>
      <c r="C109" s="47"/>
      <c r="D109" s="47"/>
      <c r="E109" s="47"/>
    </row>
    <row r="110" spans="2:5" x14ac:dyDescent="0.25">
      <c r="B110" s="47"/>
      <c r="C110" s="47"/>
      <c r="D110" s="47"/>
      <c r="E110" s="47"/>
    </row>
    <row r="111" spans="2:5" x14ac:dyDescent="0.25">
      <c r="B111" s="47"/>
      <c r="C111" s="47"/>
      <c r="D111" s="47"/>
      <c r="E111" s="47"/>
    </row>
    <row r="112" spans="2:5" x14ac:dyDescent="0.25">
      <c r="B112" s="47"/>
      <c r="C112" s="47"/>
      <c r="D112" s="47"/>
      <c r="E112" s="47"/>
    </row>
    <row r="113" spans="2:5" x14ac:dyDescent="0.25">
      <c r="B113" s="47"/>
      <c r="C113" s="47"/>
      <c r="D113" s="47"/>
      <c r="E113" s="47"/>
    </row>
    <row r="114" spans="2:5" x14ac:dyDescent="0.25">
      <c r="B114" s="47"/>
      <c r="C114" s="47"/>
      <c r="D114" s="47"/>
      <c r="E114" s="47"/>
    </row>
    <row r="115" spans="2:5" x14ac:dyDescent="0.25">
      <c r="B115" s="47"/>
      <c r="C115" s="47"/>
      <c r="D115" s="47"/>
      <c r="E115" s="47"/>
    </row>
    <row r="116" spans="2:5" x14ac:dyDescent="0.25">
      <c r="B116" s="47"/>
      <c r="C116" s="47"/>
      <c r="D116" s="47"/>
      <c r="E116" s="47"/>
    </row>
    <row r="117" spans="2:5" x14ac:dyDescent="0.25">
      <c r="B117" s="47"/>
      <c r="C117" s="47"/>
      <c r="D117" s="47"/>
      <c r="E117" s="47"/>
    </row>
    <row r="118" spans="2:5" x14ac:dyDescent="0.25">
      <c r="B118" s="47"/>
      <c r="C118" s="47"/>
      <c r="D118" s="47"/>
      <c r="E118" s="47"/>
    </row>
    <row r="119" spans="2:5" x14ac:dyDescent="0.25">
      <c r="B119" s="47"/>
      <c r="C119" s="47"/>
      <c r="D119" s="47"/>
      <c r="E119" s="47"/>
    </row>
    <row r="120" spans="2:5" x14ac:dyDescent="0.25">
      <c r="B120" s="47"/>
      <c r="C120" s="47"/>
      <c r="D120" s="47"/>
      <c r="E120" s="47"/>
    </row>
    <row r="121" spans="2:5" x14ac:dyDescent="0.25">
      <c r="B121" s="47"/>
      <c r="C121" s="47"/>
      <c r="D121" s="47"/>
      <c r="E121" s="47"/>
    </row>
    <row r="122" spans="2:5" x14ac:dyDescent="0.25">
      <c r="B122" s="47"/>
      <c r="C122" s="47"/>
      <c r="D122" s="47"/>
      <c r="E122" s="47"/>
    </row>
    <row r="123" spans="2:5" x14ac:dyDescent="0.25">
      <c r="B123" s="47"/>
      <c r="C123" s="47"/>
      <c r="D123" s="47"/>
      <c r="E123" s="47"/>
    </row>
    <row r="124" spans="2:5" x14ac:dyDescent="0.25">
      <c r="B124" s="47"/>
      <c r="C124" s="47"/>
      <c r="D124" s="47"/>
      <c r="E124" s="47"/>
    </row>
    <row r="125" spans="2:5" x14ac:dyDescent="0.25">
      <c r="B125" s="47"/>
      <c r="C125" s="47"/>
      <c r="D125" s="47"/>
      <c r="E125" s="47"/>
    </row>
    <row r="126" spans="2:5" x14ac:dyDescent="0.25">
      <c r="B126" s="47"/>
      <c r="C126" s="47"/>
      <c r="D126" s="47"/>
      <c r="E126" s="47"/>
    </row>
    <row r="127" spans="2:5" x14ac:dyDescent="0.25">
      <c r="B127" s="47"/>
      <c r="C127" s="47"/>
      <c r="D127" s="47"/>
      <c r="E127" s="47"/>
    </row>
    <row r="128" spans="2:5" x14ac:dyDescent="0.25">
      <c r="B128" s="47"/>
      <c r="C128" s="47"/>
      <c r="D128" s="47"/>
      <c r="E128" s="47"/>
    </row>
    <row r="129" spans="2:5" x14ac:dyDescent="0.25">
      <c r="B129" s="47"/>
      <c r="C129" s="47"/>
      <c r="D129" s="47"/>
      <c r="E129" s="47"/>
    </row>
    <row r="130" spans="2:5" x14ac:dyDescent="0.25">
      <c r="B130" s="47"/>
      <c r="C130" s="47"/>
      <c r="D130" s="47"/>
      <c r="E130" s="47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/>
  </sheetViews>
  <sheetFormatPr baseColWidth="10" defaultRowHeight="15" x14ac:dyDescent="0.25"/>
  <cols>
    <col min="1" max="1" width="41.85546875" bestFit="1" customWidth="1"/>
    <col min="2" max="2" width="14.140625" bestFit="1" customWidth="1"/>
    <col min="3" max="4" width="12.42578125" bestFit="1" customWidth="1"/>
    <col min="5" max="6" width="14.140625" bestFit="1" customWidth="1"/>
  </cols>
  <sheetData>
    <row r="1" spans="1:6" ht="15.75" thickBot="1" x14ac:dyDescent="0.3"/>
    <row r="2" spans="1:6" ht="15.75" thickBot="1" x14ac:dyDescent="0.3">
      <c r="A2" s="291" t="s">
        <v>65</v>
      </c>
      <c r="B2" s="292" t="s">
        <v>97</v>
      </c>
      <c r="C2" s="292" t="s">
        <v>98</v>
      </c>
      <c r="D2" s="292" t="s">
        <v>99</v>
      </c>
      <c r="E2" s="304" t="s">
        <v>294</v>
      </c>
      <c r="F2" s="304" t="s">
        <v>295</v>
      </c>
    </row>
    <row r="3" spans="1:6" ht="15.75" thickBot="1" x14ac:dyDescent="0.3">
      <c r="A3" s="293" t="s">
        <v>93</v>
      </c>
      <c r="B3" s="294">
        <f>+'INGRESOS '!S10</f>
        <v>288</v>
      </c>
      <c r="C3" s="294">
        <f>+'INGRESOS '!AF10</f>
        <v>480</v>
      </c>
      <c r="D3" s="294">
        <f>+'INGRESOS '!AS10</f>
        <v>576</v>
      </c>
      <c r="E3" s="294">
        <f>+'INGRESOS '!BF10</f>
        <v>576</v>
      </c>
      <c r="F3" s="294">
        <f>+'INGRESOS '!BS10</f>
        <v>576</v>
      </c>
    </row>
    <row r="4" spans="1:6" ht="15.75" thickBot="1" x14ac:dyDescent="0.3">
      <c r="A4" s="293" t="s">
        <v>315</v>
      </c>
      <c r="B4" s="294">
        <v>5</v>
      </c>
      <c r="C4" s="294">
        <v>5</v>
      </c>
      <c r="D4" s="294">
        <v>5</v>
      </c>
      <c r="E4" s="294">
        <v>5</v>
      </c>
      <c r="F4" s="294">
        <v>5</v>
      </c>
    </row>
    <row r="5" spans="1:6" ht="15.75" thickBot="1" x14ac:dyDescent="0.3">
      <c r="A5" s="293" t="s">
        <v>94</v>
      </c>
      <c r="B5" s="294">
        <v>4</v>
      </c>
      <c r="C5" s="294">
        <v>4</v>
      </c>
      <c r="D5" s="294">
        <v>4</v>
      </c>
      <c r="E5" s="294">
        <v>4</v>
      </c>
      <c r="F5" s="294">
        <v>4</v>
      </c>
    </row>
    <row r="6" spans="1:6" ht="15.75" thickBot="1" x14ac:dyDescent="0.3">
      <c r="A6" s="295" t="s">
        <v>316</v>
      </c>
      <c r="B6" s="296">
        <f>+B3*B4*B5</f>
        <v>5760</v>
      </c>
      <c r="C6" s="296">
        <f>+C3*C4*C5</f>
        <v>9600</v>
      </c>
      <c r="D6" s="296">
        <f>+D3*D4*D5</f>
        <v>11520</v>
      </c>
      <c r="E6" s="296">
        <f t="shared" ref="E6:F6" si="0">+E3*E4*E5</f>
        <v>11520</v>
      </c>
      <c r="F6" s="296">
        <f t="shared" si="0"/>
        <v>11520</v>
      </c>
    </row>
    <row r="7" spans="1:6" ht="15.75" thickBot="1" x14ac:dyDescent="0.3">
      <c r="A7" s="297"/>
      <c r="B7" s="298"/>
      <c r="C7" s="298"/>
      <c r="D7" s="298"/>
      <c r="E7" s="298"/>
      <c r="F7" s="298"/>
    </row>
    <row r="8" spans="1:6" ht="15.75" thickBot="1" x14ac:dyDescent="0.3">
      <c r="A8" s="299" t="s">
        <v>145</v>
      </c>
      <c r="B8" s="300">
        <f>+ADMINISTRATIVOS!O32+NOMINA!P29</f>
        <v>250080506</v>
      </c>
      <c r="C8" s="300">
        <f>+ADMINISTRATIVOS!AB32+NOMINA!AC29</f>
        <v>355819832</v>
      </c>
      <c r="D8" s="300">
        <f>+ADMINISTRATIVOS!AO32+NOMINA!AP29</f>
        <v>441150088</v>
      </c>
      <c r="E8" s="300">
        <f>+ADMINISTRATIVOS!BB32+NOMINA!BC29</f>
        <v>454629868</v>
      </c>
      <c r="F8" s="300">
        <f>+ADMINISTRATIVOS!BO32+NOMINA!BP29</f>
        <v>468284412</v>
      </c>
    </row>
    <row r="9" spans="1:6" ht="15.75" thickBot="1" x14ac:dyDescent="0.3">
      <c r="A9" s="299" t="s">
        <v>144</v>
      </c>
      <c r="B9" s="300">
        <f>+'VEHICULOS '!P66</f>
        <v>93736272</v>
      </c>
      <c r="C9" s="300">
        <f>+'VEHICULOS '!AC66</f>
        <v>163120249</v>
      </c>
      <c r="D9" s="300">
        <f>+'VEHICULOS '!AP66</f>
        <v>207408055.39999995</v>
      </c>
      <c r="E9" s="300">
        <f>+'VEHICULOS '!BC66</f>
        <v>215122341.39999995</v>
      </c>
      <c r="F9" s="300">
        <f>+'VEHICULOS '!BP66</f>
        <v>222836627.39999995</v>
      </c>
    </row>
    <row r="10" spans="1:6" ht="15.75" thickBot="1" x14ac:dyDescent="0.3">
      <c r="A10" s="299" t="s">
        <v>317</v>
      </c>
      <c r="B10" s="300">
        <f>+EEFF!P71</f>
        <v>47599999.999999993</v>
      </c>
      <c r="C10" s="300">
        <f>+EEFF!AC71</f>
        <v>77600000</v>
      </c>
      <c r="D10" s="300">
        <f>+EEFF!AP71</f>
        <v>92600000.000000015</v>
      </c>
      <c r="E10" s="300">
        <f>+EEFF!BC71</f>
        <v>91599999.999999985</v>
      </c>
      <c r="F10" s="300">
        <f>+EEFF!BP71</f>
        <v>91599999.999999985</v>
      </c>
    </row>
    <row r="11" spans="1:6" ht="15.75" thickBot="1" x14ac:dyDescent="0.3">
      <c r="A11" s="299" t="s">
        <v>318</v>
      </c>
      <c r="B11" s="300">
        <f>SUM(B8:B10)</f>
        <v>391416778</v>
      </c>
      <c r="C11" s="300">
        <f t="shared" ref="C11:F11" si="1">SUM(C8:C10)</f>
        <v>596540081</v>
      </c>
      <c r="D11" s="300">
        <f t="shared" si="1"/>
        <v>741158143.39999998</v>
      </c>
      <c r="E11" s="300">
        <f t="shared" si="1"/>
        <v>761352209.39999998</v>
      </c>
      <c r="F11" s="300">
        <f t="shared" si="1"/>
        <v>782721039.39999998</v>
      </c>
    </row>
    <row r="12" spans="1:6" ht="15.75" thickBot="1" x14ac:dyDescent="0.3">
      <c r="A12" s="299" t="s">
        <v>319</v>
      </c>
      <c r="B12" s="300">
        <f>+B11/B6</f>
        <v>67954.301736111112</v>
      </c>
      <c r="C12" s="300">
        <f t="shared" ref="C12:F12" si="2">+C11/C6</f>
        <v>62139.591770833336</v>
      </c>
      <c r="D12" s="300">
        <f t="shared" si="2"/>
        <v>64336.644392361108</v>
      </c>
      <c r="E12" s="300">
        <f t="shared" si="2"/>
        <v>66089.601510416658</v>
      </c>
      <c r="F12" s="300">
        <f t="shared" si="2"/>
        <v>67944.534670138892</v>
      </c>
    </row>
    <row r="13" spans="1:6" ht="15.75" thickBot="1" x14ac:dyDescent="0.3">
      <c r="A13" s="299" t="s">
        <v>320</v>
      </c>
      <c r="B13" s="301">
        <v>0.3</v>
      </c>
      <c r="C13" s="301">
        <v>0.3</v>
      </c>
      <c r="D13" s="301">
        <v>0.3</v>
      </c>
      <c r="E13" s="301">
        <v>0.3</v>
      </c>
      <c r="F13" s="301">
        <v>0.3</v>
      </c>
    </row>
    <row r="14" spans="1:6" ht="15.75" thickBot="1" x14ac:dyDescent="0.3">
      <c r="A14" s="299" t="s">
        <v>62</v>
      </c>
      <c r="B14" s="300">
        <f>+'INGRESOS '!S14</f>
        <v>80000</v>
      </c>
      <c r="C14" s="300">
        <f>+'INGRESOS '!AF14</f>
        <v>83200</v>
      </c>
      <c r="D14" s="300">
        <f>+'INGRESOS '!AS14</f>
        <v>86528</v>
      </c>
      <c r="E14" s="300">
        <f>+'INGRESOS '!BF14</f>
        <v>89989</v>
      </c>
      <c r="F14" s="300">
        <f>+'INGRESOS '!BS14</f>
        <v>93589</v>
      </c>
    </row>
    <row r="15" spans="1:6" ht="15.75" thickBot="1" x14ac:dyDescent="0.3">
      <c r="A15" s="299" t="s">
        <v>321</v>
      </c>
      <c r="B15" s="301">
        <v>0.04</v>
      </c>
      <c r="C15" s="301">
        <v>0.04</v>
      </c>
      <c r="D15" s="301">
        <v>0.04</v>
      </c>
      <c r="E15" s="301">
        <v>0.04</v>
      </c>
      <c r="F15" s="301">
        <v>0.04</v>
      </c>
    </row>
    <row r="16" spans="1:6" ht="16.5" thickBot="1" x14ac:dyDescent="0.3">
      <c r="A16" s="302" t="s">
        <v>214</v>
      </c>
      <c r="B16" s="303">
        <f>+B14*B6</f>
        <v>460800000</v>
      </c>
      <c r="C16" s="303">
        <f t="shared" ref="C16:F16" si="3">+C14*C6</f>
        <v>798720000</v>
      </c>
      <c r="D16" s="303">
        <f t="shared" si="3"/>
        <v>996802560</v>
      </c>
      <c r="E16" s="303">
        <f t="shared" si="3"/>
        <v>1036673280</v>
      </c>
      <c r="F16" s="303">
        <f t="shared" si="3"/>
        <v>1078145280</v>
      </c>
    </row>
    <row r="18" spans="1:6" ht="15.75" thickBot="1" x14ac:dyDescent="0.3"/>
    <row r="19" spans="1:6" ht="15.75" thickBot="1" x14ac:dyDescent="0.3">
      <c r="A19" s="291"/>
      <c r="B19" s="292" t="s">
        <v>97</v>
      </c>
      <c r="C19" s="292" t="s">
        <v>98</v>
      </c>
      <c r="D19" s="292" t="s">
        <v>99</v>
      </c>
      <c r="E19" s="304" t="s">
        <v>294</v>
      </c>
      <c r="F19" s="304" t="s">
        <v>295</v>
      </c>
    </row>
    <row r="20" spans="1:6" ht="15.75" thickBot="1" x14ac:dyDescent="0.3">
      <c r="A20" s="299" t="s">
        <v>62</v>
      </c>
      <c r="B20" s="300">
        <f>+B14</f>
        <v>80000</v>
      </c>
      <c r="C20" s="300">
        <f t="shared" ref="C20:F20" si="4">+C14</f>
        <v>83200</v>
      </c>
      <c r="D20" s="300">
        <f t="shared" si="4"/>
        <v>86528</v>
      </c>
      <c r="E20" s="300">
        <f t="shared" si="4"/>
        <v>89989</v>
      </c>
      <c r="F20" s="300">
        <f t="shared" si="4"/>
        <v>93589</v>
      </c>
    </row>
    <row r="21" spans="1:6" ht="15.75" thickBot="1" x14ac:dyDescent="0.3">
      <c r="A21" s="299" t="s">
        <v>322</v>
      </c>
      <c r="B21" s="300">
        <f>+B9/B6</f>
        <v>16273.658333333333</v>
      </c>
      <c r="C21" s="300">
        <f t="shared" ref="C21:F21" si="5">+C9/C6</f>
        <v>16991.692604166667</v>
      </c>
      <c r="D21" s="300">
        <f t="shared" si="5"/>
        <v>18004.171475694438</v>
      </c>
      <c r="E21" s="300">
        <f t="shared" si="5"/>
        <v>18673.814357638883</v>
      </c>
      <c r="F21" s="300">
        <f t="shared" si="5"/>
        <v>19343.457239583327</v>
      </c>
    </row>
    <row r="22" spans="1:6" ht="15.75" thickBot="1" x14ac:dyDescent="0.3">
      <c r="A22" s="299" t="s">
        <v>323</v>
      </c>
      <c r="B22" s="300">
        <f>+B20-B21</f>
        <v>63726.341666666667</v>
      </c>
      <c r="C22" s="300">
        <f t="shared" ref="C22:F22" si="6">+C20-C21</f>
        <v>66208.307395833341</v>
      </c>
      <c r="D22" s="300">
        <f t="shared" si="6"/>
        <v>68523.828524305558</v>
      </c>
      <c r="E22" s="300">
        <f t="shared" si="6"/>
        <v>71315.185642361117</v>
      </c>
      <c r="F22" s="300">
        <f t="shared" si="6"/>
        <v>74245.542760416676</v>
      </c>
    </row>
    <row r="23" spans="1:6" ht="15.75" thickBot="1" x14ac:dyDescent="0.3">
      <c r="A23" s="299"/>
      <c r="B23" s="294"/>
      <c r="C23" s="294"/>
      <c r="D23" s="294"/>
      <c r="E23" s="294"/>
      <c r="F23" s="294"/>
    </row>
    <row r="24" spans="1:6" ht="15.75" thickBot="1" x14ac:dyDescent="0.3">
      <c r="A24" s="299" t="s">
        <v>324</v>
      </c>
      <c r="B24" s="300">
        <f>+B8</f>
        <v>250080506</v>
      </c>
      <c r="C24" s="300">
        <f t="shared" ref="C24:F24" si="7">+C8</f>
        <v>355819832</v>
      </c>
      <c r="D24" s="300">
        <f t="shared" si="7"/>
        <v>441150088</v>
      </c>
      <c r="E24" s="300">
        <f t="shared" si="7"/>
        <v>454629868</v>
      </c>
      <c r="F24" s="300">
        <f t="shared" si="7"/>
        <v>468284412</v>
      </c>
    </row>
    <row r="25" spans="1:6" ht="15.75" thickBot="1" x14ac:dyDescent="0.3">
      <c r="A25" s="299" t="s">
        <v>325</v>
      </c>
      <c r="B25" s="300">
        <f>+B24/B22</f>
        <v>3924.287813477446</v>
      </c>
      <c r="C25" s="300">
        <f t="shared" ref="C25:F25" si="8">+C24/C22</f>
        <v>5374.2475226363003</v>
      </c>
      <c r="D25" s="300">
        <f t="shared" si="8"/>
        <v>6437.9077687336612</v>
      </c>
      <c r="E25" s="300">
        <f t="shared" si="8"/>
        <v>6374.9377345790781</v>
      </c>
      <c r="F25" s="300">
        <f t="shared" si="8"/>
        <v>6307.2393922839165</v>
      </c>
    </row>
    <row r="26" spans="1:6" ht="15.75" thickBot="1" x14ac:dyDescent="0.3">
      <c r="A26" s="299" t="s">
        <v>326</v>
      </c>
      <c r="B26" s="305">
        <f>+B25/279</f>
        <v>14.065547718557154</v>
      </c>
      <c r="C26" s="305">
        <f t="shared" ref="C26:F26" si="9">+C25/279</f>
        <v>19.262535923427599</v>
      </c>
      <c r="D26" s="305">
        <f t="shared" si="9"/>
        <v>23.07493823918875</v>
      </c>
      <c r="E26" s="305">
        <f t="shared" si="9"/>
        <v>22.849239192039708</v>
      </c>
      <c r="F26" s="305">
        <f t="shared" si="9"/>
        <v>22.606592803885004</v>
      </c>
    </row>
    <row r="32" spans="1:6" x14ac:dyDescent="0.25">
      <c r="B32" s="47"/>
    </row>
    <row r="33" spans="2:2" x14ac:dyDescent="0.25">
      <c r="B33" s="4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P217"/>
  <sheetViews>
    <sheetView zoomScale="115" zoomScaleNormal="115" workbookViewId="0">
      <pane xSplit="3" ySplit="5" topLeftCell="L17" activePane="bottomRight" state="frozen"/>
      <selection pane="topRight" activeCell="D1" sqref="D1"/>
      <selection pane="bottomLeft" activeCell="A3" sqref="A3"/>
      <selection pane="bottomRight" activeCell="P22" sqref="P22"/>
    </sheetView>
  </sheetViews>
  <sheetFormatPr baseColWidth="10" defaultColWidth="11.42578125" defaultRowHeight="15" outlineLevelCol="1" x14ac:dyDescent="0.25"/>
  <cols>
    <col min="1" max="1" width="13.42578125" bestFit="1" customWidth="1"/>
    <col min="2" max="2" width="4.5703125" customWidth="1"/>
    <col min="3" max="3" width="33.5703125" customWidth="1"/>
    <col min="4" max="4" width="13.85546875" hidden="1" customWidth="1" outlineLevel="1"/>
    <col min="5" max="8" width="13.42578125" hidden="1" customWidth="1" outlineLevel="1"/>
    <col min="9" max="9" width="13.85546875" hidden="1" customWidth="1" outlineLevel="1"/>
    <col min="10" max="15" width="14.5703125" hidden="1" customWidth="1" outlineLevel="1"/>
    <col min="16" max="16" width="14.5703125" customWidth="1" collapsed="1"/>
    <col min="17" max="28" width="14.5703125" hidden="1" customWidth="1" outlineLevel="1"/>
    <col min="29" max="29" width="14.5703125" customWidth="1" collapsed="1"/>
    <col min="30" max="41" width="14.5703125" hidden="1" customWidth="1" outlineLevel="1"/>
    <col min="42" max="42" width="14.5703125" customWidth="1" collapsed="1"/>
    <col min="43" max="54" width="14.5703125" hidden="1" customWidth="1" outlineLevel="1"/>
    <col min="55" max="55" width="15" bestFit="1" customWidth="1" collapsed="1"/>
    <col min="56" max="67" width="14.5703125" hidden="1" customWidth="1" outlineLevel="1"/>
    <col min="68" max="68" width="15" bestFit="1" customWidth="1" collapsed="1"/>
  </cols>
  <sheetData>
    <row r="3" spans="2:68" ht="26.25" x14ac:dyDescent="0.4">
      <c r="B3" s="357" t="s">
        <v>287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</row>
    <row r="4" spans="2:68" ht="15.75" thickBot="1" x14ac:dyDescent="0.3"/>
    <row r="5" spans="2:68" ht="15.75" thickBot="1" x14ac:dyDescent="0.3">
      <c r="B5" s="355" t="s">
        <v>284</v>
      </c>
      <c r="C5" s="356"/>
      <c r="D5" s="206">
        <v>1</v>
      </c>
      <c r="E5" s="206">
        <v>2</v>
      </c>
      <c r="F5" s="206">
        <v>3</v>
      </c>
      <c r="G5" s="206">
        <v>4</v>
      </c>
      <c r="H5" s="206">
        <v>5</v>
      </c>
      <c r="I5" s="206">
        <v>6</v>
      </c>
      <c r="J5" s="206">
        <v>7</v>
      </c>
      <c r="K5" s="206">
        <v>8</v>
      </c>
      <c r="L5" s="206">
        <v>9</v>
      </c>
      <c r="M5" s="206">
        <v>10</v>
      </c>
      <c r="N5" s="206">
        <v>11</v>
      </c>
      <c r="O5" s="206">
        <v>12</v>
      </c>
      <c r="P5" s="206" t="s">
        <v>97</v>
      </c>
      <c r="Q5" s="206">
        <v>13</v>
      </c>
      <c r="R5" s="206">
        <v>14</v>
      </c>
      <c r="S5" s="206">
        <f>+R5+1</f>
        <v>15</v>
      </c>
      <c r="T5" s="206">
        <f t="shared" ref="T5:AB5" si="0">+S5+1</f>
        <v>16</v>
      </c>
      <c r="U5" s="206">
        <f t="shared" si="0"/>
        <v>17</v>
      </c>
      <c r="V5" s="206">
        <f t="shared" si="0"/>
        <v>18</v>
      </c>
      <c r="W5" s="206">
        <f t="shared" si="0"/>
        <v>19</v>
      </c>
      <c r="X5" s="206">
        <f t="shared" si="0"/>
        <v>20</v>
      </c>
      <c r="Y5" s="206">
        <f t="shared" si="0"/>
        <v>21</v>
      </c>
      <c r="Z5" s="206">
        <f t="shared" si="0"/>
        <v>22</v>
      </c>
      <c r="AA5" s="206">
        <f t="shared" si="0"/>
        <v>23</v>
      </c>
      <c r="AB5" s="206">
        <f t="shared" si="0"/>
        <v>24</v>
      </c>
      <c r="AC5" s="206" t="s">
        <v>98</v>
      </c>
      <c r="AD5" s="206">
        <v>25</v>
      </c>
      <c r="AE5" s="206">
        <f>+AD5+1</f>
        <v>26</v>
      </c>
      <c r="AF5" s="206">
        <f>+AE5+1</f>
        <v>27</v>
      </c>
      <c r="AG5" s="206">
        <f>+AF5+1</f>
        <v>28</v>
      </c>
      <c r="AH5" s="206">
        <f t="shared" ref="AH5:AO5" si="1">+AG5+1</f>
        <v>29</v>
      </c>
      <c r="AI5" s="206">
        <f t="shared" si="1"/>
        <v>30</v>
      </c>
      <c r="AJ5" s="206">
        <f t="shared" si="1"/>
        <v>31</v>
      </c>
      <c r="AK5" s="206">
        <f t="shared" si="1"/>
        <v>32</v>
      </c>
      <c r="AL5" s="206">
        <f t="shared" si="1"/>
        <v>33</v>
      </c>
      <c r="AM5" s="206">
        <f t="shared" si="1"/>
        <v>34</v>
      </c>
      <c r="AN5" s="206">
        <f t="shared" si="1"/>
        <v>35</v>
      </c>
      <c r="AO5" s="206">
        <f t="shared" si="1"/>
        <v>36</v>
      </c>
      <c r="AP5" s="230" t="s">
        <v>99</v>
      </c>
      <c r="AQ5" s="271">
        <f>+AO5+1</f>
        <v>37</v>
      </c>
      <c r="AR5" s="230">
        <f t="shared" ref="AR5:BB5" si="2">+AQ5+1</f>
        <v>38</v>
      </c>
      <c r="AS5" s="230">
        <f t="shared" si="2"/>
        <v>39</v>
      </c>
      <c r="AT5" s="230">
        <f t="shared" si="2"/>
        <v>40</v>
      </c>
      <c r="AU5" s="230">
        <f t="shared" si="2"/>
        <v>41</v>
      </c>
      <c r="AV5" s="230">
        <f t="shared" si="2"/>
        <v>42</v>
      </c>
      <c r="AW5" s="230">
        <f t="shared" si="2"/>
        <v>43</v>
      </c>
      <c r="AX5" s="230">
        <f t="shared" si="2"/>
        <v>44</v>
      </c>
      <c r="AY5" s="230">
        <f t="shared" si="2"/>
        <v>45</v>
      </c>
      <c r="AZ5" s="230">
        <f t="shared" si="2"/>
        <v>46</v>
      </c>
      <c r="BA5" s="230">
        <f t="shared" si="2"/>
        <v>47</v>
      </c>
      <c r="BB5" s="230">
        <f t="shared" si="2"/>
        <v>48</v>
      </c>
      <c r="BC5" s="279" t="s">
        <v>294</v>
      </c>
      <c r="BD5" s="271">
        <f>+BB5+1</f>
        <v>49</v>
      </c>
      <c r="BE5" s="230">
        <f t="shared" ref="BE5:BO5" si="3">+BD5+1</f>
        <v>50</v>
      </c>
      <c r="BF5" s="230">
        <f t="shared" si="3"/>
        <v>51</v>
      </c>
      <c r="BG5" s="230">
        <f t="shared" si="3"/>
        <v>52</v>
      </c>
      <c r="BH5" s="230">
        <f t="shared" si="3"/>
        <v>53</v>
      </c>
      <c r="BI5" s="230">
        <f t="shared" si="3"/>
        <v>54</v>
      </c>
      <c r="BJ5" s="230">
        <f t="shared" si="3"/>
        <v>55</v>
      </c>
      <c r="BK5" s="230">
        <f t="shared" si="3"/>
        <v>56</v>
      </c>
      <c r="BL5" s="230">
        <f t="shared" si="3"/>
        <v>57</v>
      </c>
      <c r="BM5" s="230">
        <f t="shared" si="3"/>
        <v>58</v>
      </c>
      <c r="BN5" s="230">
        <f t="shared" si="3"/>
        <v>59</v>
      </c>
      <c r="BO5" s="230">
        <f t="shared" si="3"/>
        <v>60</v>
      </c>
      <c r="BP5" s="232" t="s">
        <v>295</v>
      </c>
    </row>
    <row r="6" spans="2:68" x14ac:dyDescent="0.25">
      <c r="B6" s="207" t="s">
        <v>217</v>
      </c>
      <c r="C6" s="126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272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272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208"/>
    </row>
    <row r="7" spans="2:68" x14ac:dyDescent="0.25">
      <c r="B7" s="199"/>
      <c r="C7" s="198" t="s">
        <v>226</v>
      </c>
      <c r="D7" s="74">
        <v>90000000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f>SUM(D7:O7)</f>
        <v>90000000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f>SUM(Q7:AB7)</f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4">
        <v>0</v>
      </c>
      <c r="AN7" s="74">
        <v>0</v>
      </c>
      <c r="AO7" s="74">
        <v>0</v>
      </c>
      <c r="AP7" s="74">
        <f>SUM(AD7:AO7)</f>
        <v>0</v>
      </c>
      <c r="AQ7" s="255">
        <v>0</v>
      </c>
      <c r="AR7" s="74">
        <v>0</v>
      </c>
      <c r="AS7" s="74">
        <v>0</v>
      </c>
      <c r="AT7" s="74">
        <v>0</v>
      </c>
      <c r="AU7" s="74">
        <v>0</v>
      </c>
      <c r="AV7" s="74">
        <v>0</v>
      </c>
      <c r="AW7" s="74">
        <v>0</v>
      </c>
      <c r="AX7" s="74">
        <v>0</v>
      </c>
      <c r="AY7" s="74">
        <v>0</v>
      </c>
      <c r="AZ7" s="74">
        <v>0</v>
      </c>
      <c r="BA7" s="74">
        <v>0</v>
      </c>
      <c r="BB7" s="74">
        <v>0</v>
      </c>
      <c r="BC7" s="74">
        <f>SUM(AQ7:BB7)</f>
        <v>0</v>
      </c>
      <c r="BD7" s="255">
        <v>0</v>
      </c>
      <c r="BE7" s="74">
        <v>0</v>
      </c>
      <c r="BF7" s="74">
        <v>0</v>
      </c>
      <c r="BG7" s="74">
        <v>0</v>
      </c>
      <c r="BH7" s="74">
        <v>0</v>
      </c>
      <c r="BI7" s="74">
        <v>0</v>
      </c>
      <c r="BJ7" s="74">
        <v>0</v>
      </c>
      <c r="BK7" s="74">
        <v>0</v>
      </c>
      <c r="BL7" s="74">
        <v>0</v>
      </c>
      <c r="BM7" s="74">
        <v>0</v>
      </c>
      <c r="BN7" s="74">
        <v>0</v>
      </c>
      <c r="BO7" s="74">
        <v>0</v>
      </c>
      <c r="BP7" s="76">
        <f>SUM(BD7:BO7)</f>
        <v>0</v>
      </c>
    </row>
    <row r="8" spans="2:68" x14ac:dyDescent="0.25">
      <c r="B8" s="202"/>
      <c r="C8" s="198" t="s">
        <v>236</v>
      </c>
      <c r="D8" s="74">
        <v>0</v>
      </c>
      <c r="E8" s="74">
        <f>+'INGRESOS '!G16</f>
        <v>25600000</v>
      </c>
      <c r="F8" s="74">
        <f>+'INGRESOS '!H16</f>
        <v>25600000</v>
      </c>
      <c r="G8" s="74">
        <f>+'INGRESOS '!I16</f>
        <v>25600000</v>
      </c>
      <c r="H8" s="74">
        <f>+'INGRESOS '!J16</f>
        <v>25600000</v>
      </c>
      <c r="I8" s="74">
        <f>+'INGRESOS '!K16</f>
        <v>25600000</v>
      </c>
      <c r="J8" s="74">
        <f>+'INGRESOS '!L16</f>
        <v>25600000</v>
      </c>
      <c r="K8" s="74">
        <f>+'INGRESOS '!M16</f>
        <v>51200000</v>
      </c>
      <c r="L8" s="74">
        <f>+'INGRESOS '!N16</f>
        <v>51200000</v>
      </c>
      <c r="M8" s="74">
        <f>+'INGRESOS '!O16</f>
        <v>51200000</v>
      </c>
      <c r="N8" s="74">
        <f>+'INGRESOS '!P16</f>
        <v>51200000</v>
      </c>
      <c r="O8" s="74">
        <f>+'INGRESOS '!Q16</f>
        <v>51200000</v>
      </c>
      <c r="P8" s="74">
        <f>SUM(D8:O8)</f>
        <v>409600000</v>
      </c>
      <c r="Q8" s="74">
        <f>+'INGRESOS '!R16</f>
        <v>51200000</v>
      </c>
      <c r="R8" s="74">
        <f>+'INGRESOS '!T16</f>
        <v>53248000</v>
      </c>
      <c r="S8" s="74">
        <f>+'INGRESOS '!U16</f>
        <v>53248000</v>
      </c>
      <c r="T8" s="74">
        <f>+'INGRESOS '!V16</f>
        <v>53248000</v>
      </c>
      <c r="U8" s="74">
        <f>+'INGRESOS '!W16</f>
        <v>53248000</v>
      </c>
      <c r="V8" s="74">
        <f>+'INGRESOS '!X16</f>
        <v>53248000</v>
      </c>
      <c r="W8" s="74">
        <f>+'INGRESOS '!Y16</f>
        <v>53248000</v>
      </c>
      <c r="X8" s="74">
        <f>+'INGRESOS '!Z16</f>
        <v>79872000</v>
      </c>
      <c r="Y8" s="74">
        <f>+'INGRESOS '!AA16</f>
        <v>79872000</v>
      </c>
      <c r="Z8" s="74">
        <f>+'INGRESOS '!AB16</f>
        <v>79872000</v>
      </c>
      <c r="AA8" s="74">
        <f>+'INGRESOS '!AC16</f>
        <v>79872000</v>
      </c>
      <c r="AB8" s="74">
        <f>+'INGRESOS '!AD16</f>
        <v>79872000</v>
      </c>
      <c r="AC8" s="74">
        <f>SUM(Q8:AB8)</f>
        <v>770048000</v>
      </c>
      <c r="AD8" s="74">
        <f>+'INGRESOS '!AE16</f>
        <v>79872000</v>
      </c>
      <c r="AE8" s="74">
        <f>+'INGRESOS '!AG16</f>
        <v>83066880</v>
      </c>
      <c r="AF8" s="74">
        <f>+'INGRESOS '!AH16</f>
        <v>83066880</v>
      </c>
      <c r="AG8" s="74">
        <f>+'INGRESOS '!AI16</f>
        <v>83066880</v>
      </c>
      <c r="AH8" s="74">
        <f>+'INGRESOS '!AJ16</f>
        <v>83066880</v>
      </c>
      <c r="AI8" s="74">
        <f>+'INGRESOS '!AK16</f>
        <v>83066880</v>
      </c>
      <c r="AJ8" s="74">
        <f>+'INGRESOS '!AL16</f>
        <v>83066880</v>
      </c>
      <c r="AK8" s="74">
        <f>+'INGRESOS '!AM16</f>
        <v>83066880</v>
      </c>
      <c r="AL8" s="74">
        <f>+'INGRESOS '!AN16</f>
        <v>83066880</v>
      </c>
      <c r="AM8" s="74">
        <f>+'INGRESOS '!AO16</f>
        <v>83066880</v>
      </c>
      <c r="AN8" s="74">
        <f>+'INGRESOS '!AP16</f>
        <v>83066880</v>
      </c>
      <c r="AO8" s="74">
        <f>+'INGRESOS '!AQ16</f>
        <v>83066880</v>
      </c>
      <c r="AP8" s="74">
        <f>SUM(AD8:AO8)</f>
        <v>993607680</v>
      </c>
      <c r="AQ8" s="255">
        <f>+'INGRESOS '!AR16</f>
        <v>83066880</v>
      </c>
      <c r="AR8" s="74">
        <f>+'INGRESOS '!AT16</f>
        <v>86389440</v>
      </c>
      <c r="AS8" s="74">
        <f>+'INGRESOS '!AU16</f>
        <v>86389440</v>
      </c>
      <c r="AT8" s="74">
        <f>+'INGRESOS '!AV16</f>
        <v>86389440</v>
      </c>
      <c r="AU8" s="74">
        <f>+'INGRESOS '!AW16</f>
        <v>86389440</v>
      </c>
      <c r="AV8" s="74">
        <f>+'INGRESOS '!AX16</f>
        <v>86389440</v>
      </c>
      <c r="AW8" s="74">
        <f>+'INGRESOS '!AY16</f>
        <v>86389440</v>
      </c>
      <c r="AX8" s="74">
        <f>+'INGRESOS '!AZ16</f>
        <v>86389440</v>
      </c>
      <c r="AY8" s="74">
        <f>+'INGRESOS '!BA16</f>
        <v>86389440</v>
      </c>
      <c r="AZ8" s="74">
        <f>+'INGRESOS '!BB16</f>
        <v>86389440</v>
      </c>
      <c r="BA8" s="74">
        <f>+'INGRESOS '!BC16</f>
        <v>86389440</v>
      </c>
      <c r="BB8" s="74">
        <f>+'INGRESOS '!BD16</f>
        <v>86389440</v>
      </c>
      <c r="BC8" s="74">
        <f>SUM(AQ8:BB8)</f>
        <v>1033350720</v>
      </c>
      <c r="BD8" s="255">
        <f>+'INGRESOS '!BE16</f>
        <v>86389440</v>
      </c>
      <c r="BE8" s="74">
        <f>+'INGRESOS '!BG16</f>
        <v>89845440</v>
      </c>
      <c r="BF8" s="74">
        <f>+'INGRESOS '!BH16</f>
        <v>89845440</v>
      </c>
      <c r="BG8" s="74">
        <f>+'INGRESOS '!BI16</f>
        <v>89845440</v>
      </c>
      <c r="BH8" s="74">
        <f>+'INGRESOS '!BJ16</f>
        <v>89845440</v>
      </c>
      <c r="BI8" s="74">
        <f>+'INGRESOS '!BK16</f>
        <v>89845440</v>
      </c>
      <c r="BJ8" s="74">
        <f>+'INGRESOS '!BL16</f>
        <v>89845440</v>
      </c>
      <c r="BK8" s="74">
        <f>+'INGRESOS '!BM16</f>
        <v>89845440</v>
      </c>
      <c r="BL8" s="74">
        <f>+'INGRESOS '!BN16</f>
        <v>89845440</v>
      </c>
      <c r="BM8" s="74">
        <f>+'INGRESOS '!BO16</f>
        <v>89845440</v>
      </c>
      <c r="BN8" s="74">
        <f>+'INGRESOS '!BP16</f>
        <v>89845440</v>
      </c>
      <c r="BO8" s="74">
        <f>+'INGRESOS '!BQ16</f>
        <v>89845440</v>
      </c>
      <c r="BP8" s="76">
        <f>SUM(BD8:BO8)</f>
        <v>1074689280</v>
      </c>
    </row>
    <row r="9" spans="2:68" x14ac:dyDescent="0.25">
      <c r="B9" s="200"/>
      <c r="C9" s="198" t="s">
        <v>218</v>
      </c>
      <c r="D9" s="74">
        <f>+FINANCIACION!C8</f>
        <v>135000000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f>+FINANCIACION!H8</f>
        <v>135000000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f>SUM(D9:O9)</f>
        <v>270000000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f>+FINANCIACION!M8</f>
        <v>120000000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f>SUM(Q9:AB9)</f>
        <v>120000000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f>SUM(AD9:AO9)</f>
        <v>0</v>
      </c>
      <c r="AQ9" s="255">
        <v>0</v>
      </c>
      <c r="AR9" s="74">
        <v>0</v>
      </c>
      <c r="AS9" s="74">
        <v>0</v>
      </c>
      <c r="AT9" s="74"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v>0</v>
      </c>
      <c r="BA9" s="74">
        <v>0</v>
      </c>
      <c r="BB9" s="74">
        <v>0</v>
      </c>
      <c r="BC9" s="74">
        <f>SUM(AQ9:BB9)</f>
        <v>0</v>
      </c>
      <c r="BD9" s="255">
        <v>0</v>
      </c>
      <c r="BE9" s="74">
        <v>0</v>
      </c>
      <c r="BF9" s="74">
        <v>0</v>
      </c>
      <c r="BG9" s="74">
        <v>0</v>
      </c>
      <c r="BH9" s="74">
        <v>0</v>
      </c>
      <c r="BI9" s="74">
        <v>0</v>
      </c>
      <c r="BJ9" s="74">
        <v>0</v>
      </c>
      <c r="BK9" s="74">
        <v>0</v>
      </c>
      <c r="BL9" s="74">
        <v>0</v>
      </c>
      <c r="BM9" s="74">
        <v>0</v>
      </c>
      <c r="BN9" s="74">
        <v>0</v>
      </c>
      <c r="BO9" s="74">
        <v>0</v>
      </c>
      <c r="BP9" s="76">
        <f>SUM(BD9:BO9)</f>
        <v>0</v>
      </c>
    </row>
    <row r="10" spans="2:68" ht="15.75" thickBot="1" x14ac:dyDescent="0.3">
      <c r="B10" s="199"/>
      <c r="C10" s="209" t="s">
        <v>219</v>
      </c>
      <c r="D10" s="171">
        <f t="shared" ref="D10:AP10" si="4">SUM(D7:D9)</f>
        <v>225000000</v>
      </c>
      <c r="E10" s="171">
        <f t="shared" si="4"/>
        <v>25600000</v>
      </c>
      <c r="F10" s="171">
        <f t="shared" si="4"/>
        <v>25600000</v>
      </c>
      <c r="G10" s="171">
        <f t="shared" si="4"/>
        <v>25600000</v>
      </c>
      <c r="H10" s="171">
        <f t="shared" si="4"/>
        <v>25600000</v>
      </c>
      <c r="I10" s="171">
        <f t="shared" si="4"/>
        <v>25600000</v>
      </c>
      <c r="J10" s="171">
        <f t="shared" si="4"/>
        <v>160600000</v>
      </c>
      <c r="K10" s="171">
        <f t="shared" si="4"/>
        <v>51200000</v>
      </c>
      <c r="L10" s="171">
        <f t="shared" si="4"/>
        <v>51200000</v>
      </c>
      <c r="M10" s="171">
        <f t="shared" si="4"/>
        <v>51200000</v>
      </c>
      <c r="N10" s="171">
        <f t="shared" si="4"/>
        <v>51200000</v>
      </c>
      <c r="O10" s="171">
        <f t="shared" si="4"/>
        <v>51200000</v>
      </c>
      <c r="P10" s="171">
        <f t="shared" si="4"/>
        <v>769600000</v>
      </c>
      <c r="Q10" s="171">
        <f t="shared" si="4"/>
        <v>51200000</v>
      </c>
      <c r="R10" s="171">
        <f t="shared" si="4"/>
        <v>53248000</v>
      </c>
      <c r="S10" s="171">
        <f t="shared" si="4"/>
        <v>53248000</v>
      </c>
      <c r="T10" s="171">
        <f t="shared" si="4"/>
        <v>53248000</v>
      </c>
      <c r="U10" s="171">
        <f t="shared" si="4"/>
        <v>53248000</v>
      </c>
      <c r="V10" s="171">
        <f t="shared" si="4"/>
        <v>53248000</v>
      </c>
      <c r="W10" s="171">
        <f t="shared" si="4"/>
        <v>173248000</v>
      </c>
      <c r="X10" s="171">
        <f t="shared" si="4"/>
        <v>79872000</v>
      </c>
      <c r="Y10" s="171">
        <f t="shared" si="4"/>
        <v>79872000</v>
      </c>
      <c r="Z10" s="171">
        <f t="shared" si="4"/>
        <v>79872000</v>
      </c>
      <c r="AA10" s="171">
        <f t="shared" si="4"/>
        <v>79872000</v>
      </c>
      <c r="AB10" s="171">
        <f t="shared" si="4"/>
        <v>79872000</v>
      </c>
      <c r="AC10" s="171">
        <f t="shared" si="4"/>
        <v>890048000</v>
      </c>
      <c r="AD10" s="171">
        <f t="shared" si="4"/>
        <v>79872000</v>
      </c>
      <c r="AE10" s="171">
        <f t="shared" si="4"/>
        <v>83066880</v>
      </c>
      <c r="AF10" s="171">
        <f t="shared" si="4"/>
        <v>83066880</v>
      </c>
      <c r="AG10" s="171">
        <f t="shared" si="4"/>
        <v>83066880</v>
      </c>
      <c r="AH10" s="171">
        <f t="shared" si="4"/>
        <v>83066880</v>
      </c>
      <c r="AI10" s="171">
        <f t="shared" si="4"/>
        <v>83066880</v>
      </c>
      <c r="AJ10" s="171">
        <f t="shared" si="4"/>
        <v>83066880</v>
      </c>
      <c r="AK10" s="171">
        <f t="shared" si="4"/>
        <v>83066880</v>
      </c>
      <c r="AL10" s="171">
        <f t="shared" si="4"/>
        <v>83066880</v>
      </c>
      <c r="AM10" s="171">
        <f t="shared" si="4"/>
        <v>83066880</v>
      </c>
      <c r="AN10" s="171">
        <f t="shared" si="4"/>
        <v>83066880</v>
      </c>
      <c r="AO10" s="171">
        <f t="shared" si="4"/>
        <v>83066880</v>
      </c>
      <c r="AP10" s="171">
        <f t="shared" si="4"/>
        <v>993607680</v>
      </c>
      <c r="AQ10" s="252">
        <f t="shared" ref="AQ10:BC10" si="5">SUM(AQ7:AQ9)</f>
        <v>83066880</v>
      </c>
      <c r="AR10" s="171">
        <f t="shared" si="5"/>
        <v>86389440</v>
      </c>
      <c r="AS10" s="171">
        <f t="shared" si="5"/>
        <v>86389440</v>
      </c>
      <c r="AT10" s="171">
        <f t="shared" si="5"/>
        <v>86389440</v>
      </c>
      <c r="AU10" s="171">
        <f t="shared" si="5"/>
        <v>86389440</v>
      </c>
      <c r="AV10" s="171">
        <f t="shared" si="5"/>
        <v>86389440</v>
      </c>
      <c r="AW10" s="171">
        <f t="shared" si="5"/>
        <v>86389440</v>
      </c>
      <c r="AX10" s="171">
        <f t="shared" si="5"/>
        <v>86389440</v>
      </c>
      <c r="AY10" s="171">
        <f t="shared" si="5"/>
        <v>86389440</v>
      </c>
      <c r="AZ10" s="171">
        <f t="shared" si="5"/>
        <v>86389440</v>
      </c>
      <c r="BA10" s="171">
        <f t="shared" si="5"/>
        <v>86389440</v>
      </c>
      <c r="BB10" s="171">
        <f t="shared" si="5"/>
        <v>86389440</v>
      </c>
      <c r="BC10" s="171">
        <f t="shared" si="5"/>
        <v>1033350720</v>
      </c>
      <c r="BD10" s="252">
        <f t="shared" ref="BD10:BP10" si="6">SUM(BD7:BD9)</f>
        <v>86389440</v>
      </c>
      <c r="BE10" s="171">
        <f t="shared" si="6"/>
        <v>89845440</v>
      </c>
      <c r="BF10" s="171">
        <f t="shared" si="6"/>
        <v>89845440</v>
      </c>
      <c r="BG10" s="171">
        <f t="shared" si="6"/>
        <v>89845440</v>
      </c>
      <c r="BH10" s="171">
        <f t="shared" si="6"/>
        <v>89845440</v>
      </c>
      <c r="BI10" s="171">
        <f t="shared" si="6"/>
        <v>89845440</v>
      </c>
      <c r="BJ10" s="171">
        <f t="shared" si="6"/>
        <v>89845440</v>
      </c>
      <c r="BK10" s="171">
        <f t="shared" si="6"/>
        <v>89845440</v>
      </c>
      <c r="BL10" s="171">
        <f t="shared" si="6"/>
        <v>89845440</v>
      </c>
      <c r="BM10" s="171">
        <f t="shared" si="6"/>
        <v>89845440</v>
      </c>
      <c r="BN10" s="171">
        <f t="shared" si="6"/>
        <v>89845440</v>
      </c>
      <c r="BO10" s="171">
        <f t="shared" si="6"/>
        <v>89845440</v>
      </c>
      <c r="BP10" s="172">
        <f t="shared" si="6"/>
        <v>1074689280</v>
      </c>
    </row>
    <row r="11" spans="2:68" ht="15.75" thickBot="1" x14ac:dyDescent="0.3">
      <c r="B11" s="212" t="s">
        <v>286</v>
      </c>
      <c r="C11" s="213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73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73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2:68" x14ac:dyDescent="0.25">
      <c r="B12" s="201"/>
      <c r="C12" s="210" t="s">
        <v>220</v>
      </c>
      <c r="D12" s="164">
        <f>+FINANCIACION!C6+ADMINISTRATIVOS!C5+ADMINISTRATIVOS!C6</f>
        <v>161000000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f>+FINANCIACION!H6</f>
        <v>150000000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f>SUM(D12:O12)</f>
        <v>311000000</v>
      </c>
      <c r="Q12" s="164">
        <v>0</v>
      </c>
      <c r="R12" s="164">
        <v>0</v>
      </c>
      <c r="S12" s="164">
        <v>0</v>
      </c>
      <c r="T12" s="164">
        <v>0</v>
      </c>
      <c r="U12" s="164">
        <v>0</v>
      </c>
      <c r="V12" s="164">
        <v>0</v>
      </c>
      <c r="W12" s="164">
        <f>+FINANCIACION!M6</f>
        <v>150000000</v>
      </c>
      <c r="X12" s="164">
        <v>0</v>
      </c>
      <c r="Y12" s="164">
        <v>0</v>
      </c>
      <c r="Z12" s="164">
        <v>0</v>
      </c>
      <c r="AA12" s="164">
        <v>0</v>
      </c>
      <c r="AB12" s="164">
        <v>0</v>
      </c>
      <c r="AC12" s="164">
        <f>SUM(Q12:AB12)</f>
        <v>150000000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164">
        <v>0</v>
      </c>
      <c r="AJ12" s="164">
        <v>0</v>
      </c>
      <c r="AK12" s="164">
        <v>0</v>
      </c>
      <c r="AL12" s="164">
        <v>0</v>
      </c>
      <c r="AM12" s="164">
        <v>0</v>
      </c>
      <c r="AN12" s="164">
        <v>0</v>
      </c>
      <c r="AO12" s="164">
        <v>0</v>
      </c>
      <c r="AP12" s="164">
        <f>SUM(AD12:AO12)</f>
        <v>0</v>
      </c>
      <c r="AQ12" s="274">
        <v>0</v>
      </c>
      <c r="AR12" s="164">
        <v>0</v>
      </c>
      <c r="AS12" s="164">
        <v>0</v>
      </c>
      <c r="AT12" s="164">
        <v>0</v>
      </c>
      <c r="AU12" s="164">
        <v>0</v>
      </c>
      <c r="AV12" s="164">
        <v>0</v>
      </c>
      <c r="AW12" s="164">
        <v>0</v>
      </c>
      <c r="AX12" s="164">
        <v>0</v>
      </c>
      <c r="AY12" s="164">
        <v>0</v>
      </c>
      <c r="AZ12" s="164">
        <v>0</v>
      </c>
      <c r="BA12" s="164">
        <v>0</v>
      </c>
      <c r="BB12" s="164">
        <v>0</v>
      </c>
      <c r="BC12" s="164">
        <f>SUM(AQ12:BB12)</f>
        <v>0</v>
      </c>
      <c r="BD12" s="274">
        <v>0</v>
      </c>
      <c r="BE12" s="164">
        <v>0</v>
      </c>
      <c r="BF12" s="164">
        <v>0</v>
      </c>
      <c r="BG12" s="164">
        <v>0</v>
      </c>
      <c r="BH12" s="164">
        <v>0</v>
      </c>
      <c r="BI12" s="164">
        <v>0</v>
      </c>
      <c r="BJ12" s="164">
        <v>0</v>
      </c>
      <c r="BK12" s="164">
        <v>0</v>
      </c>
      <c r="BL12" s="164">
        <v>0</v>
      </c>
      <c r="BM12" s="164">
        <v>0</v>
      </c>
      <c r="BN12" s="164">
        <v>0</v>
      </c>
      <c r="BO12" s="164">
        <v>0</v>
      </c>
      <c r="BP12" s="211">
        <f>SUM(BD12:BO12)</f>
        <v>0</v>
      </c>
    </row>
    <row r="13" spans="2:68" x14ac:dyDescent="0.25">
      <c r="B13" s="202"/>
      <c r="C13" s="203" t="s">
        <v>227</v>
      </c>
      <c r="D13" s="74">
        <f>+'VEHICULOS '!D66</f>
        <v>4147054</v>
      </c>
      <c r="E13" s="74">
        <f>+'VEHICULOS '!E66</f>
        <v>5164912</v>
      </c>
      <c r="F13" s="74">
        <f>+'VEHICULOS '!F66</f>
        <v>4182769</v>
      </c>
      <c r="G13" s="74">
        <f>+'VEHICULOS '!G66</f>
        <v>6200626</v>
      </c>
      <c r="H13" s="74">
        <f>+'VEHICULOS '!H66</f>
        <v>4218483</v>
      </c>
      <c r="I13" s="74">
        <f>+'VEHICULOS '!I66</f>
        <v>5736340</v>
      </c>
      <c r="J13" s="74">
        <f>+'VEHICULOS '!J66</f>
        <v>8508396</v>
      </c>
      <c r="K13" s="74">
        <f>+'VEHICULOS '!K66</f>
        <v>11044110</v>
      </c>
      <c r="L13" s="74">
        <f>+'VEHICULOS '!L66</f>
        <v>8579824</v>
      </c>
      <c r="M13" s="74">
        <f>+'VEHICULOS '!M66</f>
        <v>13615538</v>
      </c>
      <c r="N13" s="74">
        <f>+'VEHICULOS '!N66</f>
        <v>8651253</v>
      </c>
      <c r="O13" s="74">
        <f>+'VEHICULOS '!O66</f>
        <v>13686967</v>
      </c>
      <c r="P13" s="74">
        <f>SUM(D13:O13)</f>
        <v>93736272</v>
      </c>
      <c r="Q13" s="74">
        <f>+'VEHICULOS '!Q66</f>
        <v>8830159</v>
      </c>
      <c r="R13" s="74">
        <f>+'VEHICULOS '!R66</f>
        <v>11985874</v>
      </c>
      <c r="S13" s="74">
        <f>+'VEHICULOS '!S66</f>
        <v>8901588</v>
      </c>
      <c r="T13" s="74">
        <f>+'VEHICULOS '!T66</f>
        <v>12057302</v>
      </c>
      <c r="U13" s="74">
        <f>+'VEHICULOS '!U66</f>
        <v>8973016</v>
      </c>
      <c r="V13" s="74">
        <f>+'VEHICULOS '!V66</f>
        <v>14128731</v>
      </c>
      <c r="W13" s="74">
        <f>+'VEHICULOS '!W66</f>
        <v>13566668</v>
      </c>
      <c r="X13" s="74">
        <f>+'VEHICULOS '!X66</f>
        <v>17780239</v>
      </c>
      <c r="Y13" s="74">
        <f>+'VEHICULOS '!Y66</f>
        <v>13673811</v>
      </c>
      <c r="Z13" s="74">
        <f>+'VEHICULOS '!Z66</f>
        <v>18927382</v>
      </c>
      <c r="AA13" s="74">
        <f>+'VEHICULOS '!AA66</f>
        <v>13780954</v>
      </c>
      <c r="AB13" s="74">
        <f>+'VEHICULOS '!AB66</f>
        <v>20514525</v>
      </c>
      <c r="AC13" s="74">
        <f>SUM(Q13:AB13)</f>
        <v>163120249</v>
      </c>
      <c r="AD13" s="74">
        <f>+'VEHICULOS '!AD66</f>
        <v>14055762.199999999</v>
      </c>
      <c r="AE13" s="74">
        <f>+'VEHICULOS '!AE66</f>
        <v>18976533.199999999</v>
      </c>
      <c r="AF13" s="74">
        <f>+'VEHICULOS '!AF66</f>
        <v>14162904.199999999</v>
      </c>
      <c r="AG13" s="74">
        <f>+'VEHICULOS '!AG66</f>
        <v>19083676.199999999</v>
      </c>
      <c r="AH13" s="74">
        <f>+'VEHICULOS '!AH66</f>
        <v>14270047.199999999</v>
      </c>
      <c r="AI13" s="74">
        <f>+'VEHICULOS '!AI66</f>
        <v>23190819.199999999</v>
      </c>
      <c r="AJ13" s="74">
        <f>+'VEHICULOS '!AJ66</f>
        <v>14377190.199999999</v>
      </c>
      <c r="AK13" s="74">
        <f>+'VEHICULOS '!AK66</f>
        <v>19297962.199999999</v>
      </c>
      <c r="AL13" s="74">
        <f>+'VEHICULOS '!AL66</f>
        <v>14484333.199999999</v>
      </c>
      <c r="AM13" s="74">
        <f>+'VEHICULOS '!AM66</f>
        <v>19405104.199999999</v>
      </c>
      <c r="AN13" s="74">
        <f>+'VEHICULOS '!AN66</f>
        <v>14591476.199999999</v>
      </c>
      <c r="AO13" s="74">
        <f>+'VEHICULOS '!AO66</f>
        <v>21512247.199999999</v>
      </c>
      <c r="AP13" s="74">
        <f>SUM(AD13:AO13)</f>
        <v>207408055.39999995</v>
      </c>
      <c r="AQ13" s="255">
        <f>+'VEHICULOS '!AQ66</f>
        <v>14698619.199999999</v>
      </c>
      <c r="AR13" s="74">
        <f>+'VEHICULOS '!AR66</f>
        <v>19619390.199999999</v>
      </c>
      <c r="AS13" s="74">
        <f>+'VEHICULOS '!AS66</f>
        <v>14805762.199999999</v>
      </c>
      <c r="AT13" s="74">
        <f>+'VEHICULOS '!AT66</f>
        <v>19726533.199999999</v>
      </c>
      <c r="AU13" s="74">
        <f>+'VEHICULOS '!AU66</f>
        <v>14912904.199999999</v>
      </c>
      <c r="AV13" s="74">
        <f>+'VEHICULOS '!AV66</f>
        <v>23833676.199999999</v>
      </c>
      <c r="AW13" s="74">
        <f>+'VEHICULOS '!AW66</f>
        <v>15020047.199999999</v>
      </c>
      <c r="AX13" s="74">
        <f>+'VEHICULOS '!AX66</f>
        <v>19940819.199999999</v>
      </c>
      <c r="AY13" s="74">
        <f>+'VEHICULOS '!AY66</f>
        <v>15127190.199999999</v>
      </c>
      <c r="AZ13" s="74">
        <f>+'VEHICULOS '!AZ66</f>
        <v>20047962.199999999</v>
      </c>
      <c r="BA13" s="74">
        <f>+'VEHICULOS '!BA66</f>
        <v>15234333.199999999</v>
      </c>
      <c r="BB13" s="74">
        <f>+'VEHICULOS '!BB66</f>
        <v>22155104.199999999</v>
      </c>
      <c r="BC13" s="74">
        <f>SUM(AQ13:BB13)</f>
        <v>215122341.39999995</v>
      </c>
      <c r="BD13" s="255">
        <f>+'VEHICULOS '!BD66</f>
        <v>15341476.199999999</v>
      </c>
      <c r="BE13" s="74">
        <f>+'VEHICULOS '!BE66</f>
        <v>20262247.199999999</v>
      </c>
      <c r="BF13" s="74">
        <f>+'VEHICULOS '!BF66</f>
        <v>15448619.199999999</v>
      </c>
      <c r="BG13" s="74">
        <f>+'VEHICULOS '!BG66</f>
        <v>20369390.199999999</v>
      </c>
      <c r="BH13" s="74">
        <f>+'VEHICULOS '!BH66</f>
        <v>15555762.199999999</v>
      </c>
      <c r="BI13" s="74">
        <f>+'VEHICULOS '!BI66</f>
        <v>24476533.199999999</v>
      </c>
      <c r="BJ13" s="74">
        <f>+'VEHICULOS '!BJ66</f>
        <v>15662904.199999999</v>
      </c>
      <c r="BK13" s="74">
        <f>+'VEHICULOS '!BK66</f>
        <v>20583676.199999999</v>
      </c>
      <c r="BL13" s="74">
        <f>+'VEHICULOS '!BL66</f>
        <v>15770047.199999999</v>
      </c>
      <c r="BM13" s="74">
        <f>+'VEHICULOS '!BM66</f>
        <v>20690819.199999999</v>
      </c>
      <c r="BN13" s="74">
        <f>+'VEHICULOS '!BN66</f>
        <v>15877190.199999999</v>
      </c>
      <c r="BO13" s="74">
        <f>+'VEHICULOS '!BO66</f>
        <v>22797962.199999999</v>
      </c>
      <c r="BP13" s="76">
        <f>SUM(BD13:BO13)</f>
        <v>222836627.39999995</v>
      </c>
    </row>
    <row r="14" spans="2:68" x14ac:dyDescent="0.25">
      <c r="B14" s="202"/>
      <c r="C14" s="203" t="s">
        <v>221</v>
      </c>
      <c r="D14" s="74">
        <f>+NOMINA!D11+ADMINISTRATIVOS!C32</f>
        <v>17083400</v>
      </c>
      <c r="E14" s="74">
        <f>NOMINA!E11+NOMINA!D29-NOMINA!D11+ADMINISTRATIVOS!D32</f>
        <v>18474914</v>
      </c>
      <c r="F14" s="74">
        <f>NOMINA!F11+NOMINA!E29-NOMINA!E11+ADMINISTRATIVOS!E32</f>
        <v>17974914</v>
      </c>
      <c r="G14" s="74">
        <f>NOMINA!G11+NOMINA!F29-NOMINA!F11+ADMINISTRATIVOS!F32</f>
        <v>17974914</v>
      </c>
      <c r="H14" s="74">
        <f>NOMINA!H11+NOMINA!G29-NOMINA!G11+ADMINISTRATIVOS!G32</f>
        <v>18474914</v>
      </c>
      <c r="I14" s="74">
        <f>NOMINA!I11+NOMINA!H29-NOMINA!H11+ADMINISTRATIVOS!H32</f>
        <v>17974914</v>
      </c>
      <c r="J14" s="74">
        <f>NOMINA!J11+NOMINA!I29-NOMINA!I11+ADMINISTRATIVOS!I32</f>
        <v>21008314</v>
      </c>
      <c r="K14" s="74">
        <f>NOMINA!K11+NOMINA!J29-NOMINA!J11+ADMINISTRATIVOS!J32</f>
        <v>23596837</v>
      </c>
      <c r="L14" s="74">
        <f>NOMINA!L11+NOMINA!K29-NOMINA!K11+ADMINISTRATIVOS!K32</f>
        <v>22696837</v>
      </c>
      <c r="M14" s="74">
        <f>NOMINA!M11+NOMINA!L29-NOMINA!L11+ADMINISTRATIVOS!L32</f>
        <v>22696837</v>
      </c>
      <c r="N14" s="74">
        <f>NOMINA!N11+NOMINA!M29-NOMINA!M11+ADMINISTRATIVOS!M32</f>
        <v>23596837</v>
      </c>
      <c r="O14" s="74">
        <f>NOMINA!O11+NOMINA!N29-NOMINA!N11+ADMINISTRATIVOS!N32</f>
        <v>22696837</v>
      </c>
      <c r="P14" s="74">
        <f>SUM(D14:O14)</f>
        <v>244250469</v>
      </c>
      <c r="Q14" s="74">
        <f>NOMINA!Q11+NOMINA!O29-NOMINA!O11+ADMINISTRATIVOS!P32</f>
        <v>25202037</v>
      </c>
      <c r="R14" s="74">
        <f>NOMINA!R11+NOMINA!Q29-NOMINA!Q11+ADMINISTRATIVOS!Q32</f>
        <v>27320404</v>
      </c>
      <c r="S14" s="74">
        <f>NOMINA!S11+NOMINA!R29-NOMINA!R11+ADMINISTRATIVOS!R32</f>
        <v>26384404</v>
      </c>
      <c r="T14" s="74">
        <f>NOMINA!T11+NOMINA!S29-NOMINA!S11+ADMINISTRATIVOS!S32</f>
        <v>27384404</v>
      </c>
      <c r="U14" s="74">
        <f>NOMINA!U11+NOMINA!T29-NOMINA!T11+ADMINISTRATIVOS!T32</f>
        <v>27320404</v>
      </c>
      <c r="V14" s="74">
        <f>NOMINA!V11+NOMINA!U29-NOMINA!U11+ADMINISTRATIVOS!U32</f>
        <v>26384404</v>
      </c>
      <c r="W14" s="74">
        <f>NOMINA!W11+NOMINA!V29-NOMINA!V11+ADMINISTRATIVOS!V32</f>
        <v>29996404</v>
      </c>
      <c r="X14" s="74">
        <f>NOMINA!X11+NOMINA!W29-NOMINA!W11+ADMINISTRATIVOS!W32</f>
        <v>33341568</v>
      </c>
      <c r="Y14" s="74">
        <f>NOMINA!Y11+NOMINA!X29-NOMINA!X11+ADMINISTRATIVOS!X32</f>
        <v>31989568</v>
      </c>
      <c r="Z14" s="74">
        <f>NOMINA!Z11+NOMINA!Y29-NOMINA!Y11+ADMINISTRATIVOS!Y32</f>
        <v>31989568</v>
      </c>
      <c r="AA14" s="74">
        <f>NOMINA!AA11+NOMINA!Z29-NOMINA!Z11+ADMINISTRATIVOS!Z32</f>
        <v>33341568</v>
      </c>
      <c r="AB14" s="74">
        <f>NOMINA!AB11+NOMINA!AA29-NOMINA!AA11+ADMINISTRATIVOS!AA32</f>
        <v>31989568</v>
      </c>
      <c r="AC14" s="74">
        <f>SUM(Q14:AB14)</f>
        <v>352644301</v>
      </c>
      <c r="AD14" s="74">
        <f>NOMINA!AD11+NOMINA!AB29-NOMINA!AB11+ADMINISTRATIVOS!AC32</f>
        <v>34834928</v>
      </c>
      <c r="AE14" s="74">
        <f>NOMINA!AE11+NOMINA!AD29-NOMINA!AD11+ADMINISTRATIVOS!AD32</f>
        <v>37599894</v>
      </c>
      <c r="AF14" s="74">
        <f>NOMINA!AF11+NOMINA!AE29-NOMINA!AE11+ADMINISTRATIVOS!AE32</f>
        <v>36193814</v>
      </c>
      <c r="AG14" s="74">
        <f>NOMINA!AG11+NOMINA!AF29-NOMINA!AF11+ADMINISTRATIVOS!AF32</f>
        <v>37393814</v>
      </c>
      <c r="AH14" s="74">
        <f>NOMINA!AH11+NOMINA!AG29-NOMINA!AG11+ADMINISTRATIVOS!AG32</f>
        <v>37599894</v>
      </c>
      <c r="AI14" s="74">
        <f>NOMINA!AI11+NOMINA!AH29-NOMINA!AH11+ADMINISTRATIVOS!AH32</f>
        <v>36193814</v>
      </c>
      <c r="AJ14" s="74">
        <f>NOMINA!AJ11+NOMINA!AI29-NOMINA!AI11+ADMINISTRATIVOS!AI32</f>
        <v>36193814</v>
      </c>
      <c r="AK14" s="74">
        <f>NOMINA!AK11+NOMINA!AJ29-NOMINA!AJ11+ADMINISTRATIVOS!AJ32</f>
        <v>37599894</v>
      </c>
      <c r="AL14" s="74">
        <f>NOMINA!AL11+NOMINA!AK29-NOMINA!AK11+ADMINISTRATIVOS!AK32</f>
        <v>36193814</v>
      </c>
      <c r="AM14" s="74">
        <f>NOMINA!AM11+NOMINA!AL29-NOMINA!AL11+ADMINISTRATIVOS!AL32</f>
        <v>36193814</v>
      </c>
      <c r="AN14" s="74">
        <f>NOMINA!AN11+NOMINA!AM29-NOMINA!AM11+ADMINISTRATIVOS!AM32</f>
        <v>37599894</v>
      </c>
      <c r="AO14" s="74">
        <f>NOMINA!AO11+NOMINA!AN29-NOMINA!AN11+ADMINISTRATIVOS!AN32</f>
        <v>36193814</v>
      </c>
      <c r="AP14" s="74">
        <f>SUM(AD14:AO14)</f>
        <v>439791202</v>
      </c>
      <c r="AQ14" s="255">
        <f>NOMINA!AQ11+NOMINA!AO29-NOMINA!AO11+ADMINISTRATIVOS!AP32</f>
        <v>37000994</v>
      </c>
      <c r="AR14" s="74">
        <f>NOMINA!AR11+NOMINA!AQ29-NOMINA!AQ11+ADMINISTRATIVOS!AQ32</f>
        <v>38760701</v>
      </c>
      <c r="AS14" s="74">
        <f>NOMINA!AS11+NOMINA!AR29-NOMINA!AR11+ADMINISTRATIVOS!AR32</f>
        <v>37298383</v>
      </c>
      <c r="AT14" s="74">
        <f>NOMINA!AT11+NOMINA!AS29-NOMINA!AS11+ADMINISTRATIVOS!AS32</f>
        <v>38498383</v>
      </c>
      <c r="AU14" s="74">
        <f>NOMINA!AU11+NOMINA!AT29-NOMINA!AT11+ADMINISTRATIVOS!AT32</f>
        <v>38760701</v>
      </c>
      <c r="AV14" s="74">
        <f>NOMINA!AV11+NOMINA!AU29-NOMINA!AU11+ADMINISTRATIVOS!AU32</f>
        <v>37298383</v>
      </c>
      <c r="AW14" s="74">
        <f>NOMINA!AW11+NOMINA!AV29-NOMINA!AV11+ADMINISTRATIVOS!AV32</f>
        <v>37298383</v>
      </c>
      <c r="AX14" s="74">
        <f>NOMINA!AX11+NOMINA!AW29-NOMINA!AW11+ADMINISTRATIVOS!AW32</f>
        <v>38760701</v>
      </c>
      <c r="AY14" s="74">
        <f>NOMINA!AY11+NOMINA!AX29-NOMINA!AX11+ADMINISTRATIVOS!AX32</f>
        <v>37298383</v>
      </c>
      <c r="AZ14" s="74">
        <f>NOMINA!AZ11+NOMINA!AY29-NOMINA!AY11+ADMINISTRATIVOS!AY32</f>
        <v>37298383</v>
      </c>
      <c r="BA14" s="74">
        <f>NOMINA!BA11+NOMINA!AZ29-NOMINA!AZ11+ADMINISTRATIVOS!AZ32</f>
        <v>38760701</v>
      </c>
      <c r="BB14" s="74">
        <f>NOMINA!BB11+NOMINA!BA29-NOMINA!BA11+ADMINISTRATIVOS!BA32</f>
        <v>37298383</v>
      </c>
      <c r="BC14" s="74">
        <f>SUM(AQ14:BB14)</f>
        <v>454332479</v>
      </c>
      <c r="BD14" s="255">
        <f>NOMINA!BD11+NOMINA!BB29-NOMINA!BB11+ADMINISTRATIVOS!BC32</f>
        <v>38117843</v>
      </c>
      <c r="BE14" s="74">
        <f>NOMINA!BE11+NOMINA!BD29-NOMINA!BD11+ADMINISTRATIVOS!BD32</f>
        <v>39937571</v>
      </c>
      <c r="BF14" s="74">
        <f>NOMINA!BF11+NOMINA!BE29-NOMINA!BE11+ADMINISTRATIVOS!BE32</f>
        <v>38416766</v>
      </c>
      <c r="BG14" s="74">
        <f>NOMINA!BG11+NOMINA!BF29-NOMINA!BF11+ADMINISTRATIVOS!BF32</f>
        <v>39616766</v>
      </c>
      <c r="BH14" s="74">
        <f>NOMINA!BH11+NOMINA!BG29-NOMINA!BG11+ADMINISTRATIVOS!BG32</f>
        <v>39937571</v>
      </c>
      <c r="BI14" s="74">
        <f>NOMINA!BI11+NOMINA!BH29-NOMINA!BH11+ADMINISTRATIVOS!BH32</f>
        <v>38416766</v>
      </c>
      <c r="BJ14" s="74">
        <f>NOMINA!BJ11+NOMINA!BI29-NOMINA!BI11+ADMINISTRATIVOS!BI32</f>
        <v>38416766</v>
      </c>
      <c r="BK14" s="74">
        <f>NOMINA!BK11+NOMINA!BJ29-NOMINA!BJ11+ADMINISTRATIVOS!BJ32</f>
        <v>39937571</v>
      </c>
      <c r="BL14" s="74">
        <f>NOMINA!BL11+NOMINA!BK29-NOMINA!BK11+ADMINISTRATIVOS!BK32</f>
        <v>38416766</v>
      </c>
      <c r="BM14" s="74">
        <f>NOMINA!BM11+NOMINA!BL29-NOMINA!BL11+ADMINISTRATIVOS!BL32</f>
        <v>38416766</v>
      </c>
      <c r="BN14" s="74">
        <f>NOMINA!BN11+NOMINA!BM29-NOMINA!BM11+ADMINISTRATIVOS!BM32</f>
        <v>39937571</v>
      </c>
      <c r="BO14" s="74">
        <f>NOMINA!BO11+NOMINA!BN29-NOMINA!BN11+ADMINISTRATIVOS!BN32</f>
        <v>38416766</v>
      </c>
      <c r="BP14" s="76">
        <f>SUM(BD14:BO14)</f>
        <v>467985489</v>
      </c>
    </row>
    <row r="15" spans="2:68" x14ac:dyDescent="0.25">
      <c r="B15" s="202"/>
      <c r="C15" s="203" t="s">
        <v>225</v>
      </c>
      <c r="D15" s="74">
        <f>+FINANCIACION!V14</f>
        <v>0</v>
      </c>
      <c r="E15" s="74">
        <f>+FINANCIACION!V15</f>
        <v>4640251</v>
      </c>
      <c r="F15" s="74">
        <f>+FINANCIACION!V16</f>
        <v>4640251</v>
      </c>
      <c r="G15" s="74">
        <f>+FINANCIACION!V17</f>
        <v>4640251</v>
      </c>
      <c r="H15" s="74">
        <f>+FINANCIACION!V18</f>
        <v>4640251</v>
      </c>
      <c r="I15" s="74">
        <f>+FINANCIACION!V19</f>
        <v>4640251</v>
      </c>
      <c r="J15" s="74">
        <f>+FINANCIACION!V20</f>
        <v>4640251</v>
      </c>
      <c r="K15" s="74">
        <f>+FINANCIACION!V21</f>
        <v>11147530</v>
      </c>
      <c r="L15" s="74">
        <f>+FINANCIACION!V22</f>
        <v>11147530</v>
      </c>
      <c r="M15" s="74">
        <f>+FINANCIACION!V23</f>
        <v>11147530</v>
      </c>
      <c r="N15" s="74">
        <f>+FINANCIACION!V24</f>
        <v>11147530</v>
      </c>
      <c r="O15" s="74">
        <f>+FINANCIACION!V25</f>
        <v>11147530</v>
      </c>
      <c r="P15" s="74">
        <f>SUM(D15:O15)</f>
        <v>83579156</v>
      </c>
      <c r="Q15" s="74">
        <f>+FINANCIACION!V26</f>
        <v>11147530</v>
      </c>
      <c r="R15" s="74">
        <f>+FINANCIACION!V27</f>
        <v>11147530</v>
      </c>
      <c r="S15" s="74">
        <f>+FINANCIACION!V28</f>
        <v>11147530</v>
      </c>
      <c r="T15" s="74">
        <f>+FINANCIACION!V29</f>
        <v>11147530</v>
      </c>
      <c r="U15" s="74">
        <f>+FINANCIACION!V30</f>
        <v>11147530</v>
      </c>
      <c r="V15" s="74">
        <f>+FINANCIACION!V31</f>
        <v>11147530</v>
      </c>
      <c r="W15" s="74">
        <f>+FINANCIACION!V32</f>
        <v>11147530</v>
      </c>
      <c r="X15" s="74">
        <f>+FINANCIACION!V33</f>
        <v>21944582</v>
      </c>
      <c r="Y15" s="74">
        <f>+FINANCIACION!V34</f>
        <v>21944582</v>
      </c>
      <c r="Z15" s="74">
        <f>+FINANCIACION!V35</f>
        <v>21944582</v>
      </c>
      <c r="AA15" s="74">
        <f>+FINANCIACION!V36</f>
        <v>21944582</v>
      </c>
      <c r="AB15" s="74">
        <f>+FINANCIACION!V37</f>
        <v>21944582</v>
      </c>
      <c r="AC15" s="74">
        <f>SUM(Q15:AB15)</f>
        <v>187755620</v>
      </c>
      <c r="AD15" s="74">
        <f>+FINANCIACION!V38</f>
        <v>21944582</v>
      </c>
      <c r="AE15" s="74">
        <f>+FINANCIACION!V39</f>
        <v>21944582</v>
      </c>
      <c r="AF15" s="74">
        <f>+FINANCIACION!V40</f>
        <v>21944582</v>
      </c>
      <c r="AG15" s="74">
        <f>+FINANCIACION!V41</f>
        <v>21944582</v>
      </c>
      <c r="AH15" s="74">
        <f>+FINANCIACION!V42</f>
        <v>21944582</v>
      </c>
      <c r="AI15" s="74">
        <f>+FINANCIACION!V43</f>
        <v>21944582</v>
      </c>
      <c r="AJ15" s="74">
        <f>+FINANCIACION!V44</f>
        <v>21944581</v>
      </c>
      <c r="AK15" s="74">
        <f>+FINANCIACION!V45</f>
        <v>4640251</v>
      </c>
      <c r="AL15" s="74">
        <f>+FINANCIACION!V46</f>
        <v>4640251</v>
      </c>
      <c r="AM15" s="74">
        <f>+FINANCIACION!V47</f>
        <v>4640251</v>
      </c>
      <c r="AN15" s="74">
        <f>+FINANCIACION!V48</f>
        <v>4640251</v>
      </c>
      <c r="AO15" s="74">
        <f>+FINANCIACION!V49</f>
        <v>4640251</v>
      </c>
      <c r="AP15" s="74">
        <f>SUM(AD15:AO15)</f>
        <v>176813328</v>
      </c>
      <c r="AQ15" s="255">
        <f>+FINANCIACION!V50</f>
        <v>4640262</v>
      </c>
      <c r="AR15" s="74">
        <f>+FINANCIACION!V51</f>
        <v>0</v>
      </c>
      <c r="AS15" s="74">
        <f>+FINANCIACION!V52</f>
        <v>0</v>
      </c>
      <c r="AT15" s="74">
        <f>+FINANCIACION!V53</f>
        <v>0</v>
      </c>
      <c r="AU15" s="74">
        <f>+FINANCIACION!V54</f>
        <v>0</v>
      </c>
      <c r="AV15" s="74">
        <f>+FINANCIACION!V55</f>
        <v>0</v>
      </c>
      <c r="AW15" s="74">
        <f>+FINANCIACION!V56</f>
        <v>0</v>
      </c>
      <c r="AX15" s="74">
        <f>+FINANCIACION!V57</f>
        <v>0</v>
      </c>
      <c r="AY15" s="74">
        <f>+FINANCIACION!V58</f>
        <v>0</v>
      </c>
      <c r="AZ15" s="74">
        <f>+FINANCIACION!V59</f>
        <v>0</v>
      </c>
      <c r="BA15" s="74">
        <f>+FINANCIACION!V60</f>
        <v>0</v>
      </c>
      <c r="BB15" s="74">
        <f>+FINANCIACION!V61</f>
        <v>0</v>
      </c>
      <c r="BC15" s="74">
        <f>SUM(AQ15:BB15)</f>
        <v>4640262</v>
      </c>
      <c r="BD15" s="255">
        <f>+FINANCIACION!V62</f>
        <v>0</v>
      </c>
      <c r="BE15" s="74">
        <f>+FINANCIACION!V63</f>
        <v>0</v>
      </c>
      <c r="BF15" s="74">
        <f>+FINANCIACION!V64</f>
        <v>0</v>
      </c>
      <c r="BG15" s="74">
        <f>+FINANCIACION!V65</f>
        <v>0</v>
      </c>
      <c r="BH15" s="74">
        <f>+FINANCIACION!V66</f>
        <v>0</v>
      </c>
      <c r="BI15" s="74">
        <f>+FINANCIACION!V67</f>
        <v>0</v>
      </c>
      <c r="BJ15" s="74">
        <f>+FINANCIACION!V68</f>
        <v>0</v>
      </c>
      <c r="BK15" s="74">
        <f>+FINANCIACION!V69</f>
        <v>0</v>
      </c>
      <c r="BL15" s="74">
        <f>+FINANCIACION!V70</f>
        <v>0</v>
      </c>
      <c r="BM15" s="74">
        <f>+FINANCIACION!V71</f>
        <v>0</v>
      </c>
      <c r="BN15" s="74">
        <f>+FINANCIACION!V72</f>
        <v>0</v>
      </c>
      <c r="BO15" s="74">
        <f>+FINANCIACION!V73</f>
        <v>0</v>
      </c>
      <c r="BP15" s="76">
        <f>SUM(BD15:BO15)</f>
        <v>0</v>
      </c>
    </row>
    <row r="16" spans="2:68" ht="15.75" thickBot="1" x14ac:dyDescent="0.3">
      <c r="B16" s="199"/>
      <c r="C16" s="216" t="s">
        <v>222</v>
      </c>
      <c r="D16" s="217">
        <v>0</v>
      </c>
      <c r="E16" s="217">
        <v>0</v>
      </c>
      <c r="F16" s="217">
        <f>+'INGRESOS '!G20+'INGRESOS '!H20</f>
        <v>243764</v>
      </c>
      <c r="G16" s="217">
        <v>0</v>
      </c>
      <c r="H16" s="217">
        <f>+'INGRESOS '!I20+'INGRESOS '!J20</f>
        <v>243764</v>
      </c>
      <c r="I16" s="217">
        <v>0</v>
      </c>
      <c r="J16" s="217">
        <f>+'INGRESOS '!K20+'INGRESOS '!L20</f>
        <v>243764</v>
      </c>
      <c r="K16" s="217">
        <v>0</v>
      </c>
      <c r="L16" s="217">
        <f>+'INGRESOS '!M20+'INGRESOS '!N20</f>
        <v>487526</v>
      </c>
      <c r="M16" s="217">
        <v>0</v>
      </c>
      <c r="N16" s="217">
        <f>+'INGRESOS '!O20+'INGRESOS '!P20</f>
        <v>487526</v>
      </c>
      <c r="O16" s="217">
        <v>0</v>
      </c>
      <c r="P16" s="217">
        <f>SUM(D16:O16)</f>
        <v>1706344</v>
      </c>
      <c r="Q16" s="217">
        <f>+'INGRESOS '!Q20+'INGRESOS '!R20</f>
        <v>487526</v>
      </c>
      <c r="R16" s="217">
        <v>0</v>
      </c>
      <c r="S16" s="217">
        <f>+'INGRESOS '!T20+'INGRESOS '!U20+'VEHICULOS '!S69</f>
        <v>8507028</v>
      </c>
      <c r="T16" s="217">
        <f>+EEFF!O87</f>
        <v>14496828</v>
      </c>
      <c r="U16" s="217">
        <f>+'INGRESOS '!V20+'INGRESOS '!W20</f>
        <v>507028</v>
      </c>
      <c r="V16" s="217">
        <v>0</v>
      </c>
      <c r="W16" s="217">
        <f>+'INGRESOS '!X20+'INGRESOS '!Y20</f>
        <v>507028</v>
      </c>
      <c r="X16" s="217">
        <v>0</v>
      </c>
      <c r="Y16" s="217">
        <f>+'INGRESOS '!Z20+'INGRESOS '!AA20</f>
        <v>760542</v>
      </c>
      <c r="Z16" s="217">
        <v>0</v>
      </c>
      <c r="AA16" s="217">
        <f>+'INGRESOS '!AB20+'INGRESOS '!AC20</f>
        <v>760542</v>
      </c>
      <c r="AB16" s="217">
        <v>0</v>
      </c>
      <c r="AC16" s="217">
        <f>SUM(Q16:AB16)</f>
        <v>26026522</v>
      </c>
      <c r="AD16" s="217">
        <f>+'INGRESOS '!AD20+'INGRESOS '!AE20</f>
        <v>760542</v>
      </c>
      <c r="AE16" s="217">
        <v>0</v>
      </c>
      <c r="AF16" s="217">
        <f>+'INGRESOS '!AG20+'INGRESOS '!AH20+'VEHICULOS '!AF69</f>
        <v>13270964</v>
      </c>
      <c r="AG16" s="217">
        <f>+EEFF!AB87</f>
        <v>55848092</v>
      </c>
      <c r="AH16" s="217">
        <f>+'INGRESOS '!AI20+'INGRESOS '!AJ20</f>
        <v>790964</v>
      </c>
      <c r="AI16" s="217">
        <v>0</v>
      </c>
      <c r="AJ16" s="217">
        <f>+'INGRESOS '!AK20+'INGRESOS '!AL20</f>
        <v>790964</v>
      </c>
      <c r="AK16" s="217">
        <v>0</v>
      </c>
      <c r="AL16" s="217">
        <f>+'INGRESOS '!AM20+'INGRESOS '!AN20</f>
        <v>790964</v>
      </c>
      <c r="AM16" s="217">
        <v>0</v>
      </c>
      <c r="AN16" s="217">
        <f>+'INGRESOS '!AO20+'INGRESOS '!AP20</f>
        <v>790964</v>
      </c>
      <c r="AO16" s="217">
        <v>0</v>
      </c>
      <c r="AP16" s="217">
        <f>SUM(AD16:AO16)</f>
        <v>73043454</v>
      </c>
      <c r="AQ16" s="275">
        <f>+'INGRESOS '!AQ20+'INGRESOS '!AR20</f>
        <v>790964</v>
      </c>
      <c r="AR16" s="217">
        <v>0</v>
      </c>
      <c r="AS16" s="217">
        <f>+'INGRESOS '!AT20+'INGRESOS '!AU20+'VEHICULOS '!AS69</f>
        <v>13302600</v>
      </c>
      <c r="AT16" s="217">
        <f>+EEFF!AO87</f>
        <v>79386601</v>
      </c>
      <c r="AU16" s="217">
        <f>+'INGRESOS '!AV20+'INGRESOS '!AW20</f>
        <v>822600</v>
      </c>
      <c r="AV16" s="217">
        <v>0</v>
      </c>
      <c r="AW16" s="217">
        <f>+'INGRESOS '!AX20+'INGRESOS '!AY20</f>
        <v>822600</v>
      </c>
      <c r="AX16" s="217">
        <v>0</v>
      </c>
      <c r="AY16" s="217">
        <f>+'INGRESOS '!AZ20+'INGRESOS '!BA20</f>
        <v>822600</v>
      </c>
      <c r="AZ16" s="217">
        <v>0</v>
      </c>
      <c r="BA16" s="217">
        <f>+'INGRESOS '!BB20+'INGRESOS '!BC20</f>
        <v>822600</v>
      </c>
      <c r="BB16" s="217">
        <v>0</v>
      </c>
      <c r="BC16" s="217">
        <f>SUM(AQ16:BB16)</f>
        <v>96770565</v>
      </c>
      <c r="BD16" s="275">
        <f>+'INGRESOS '!BD20+'INGRESOS '!BE20</f>
        <v>822600</v>
      </c>
      <c r="BE16" s="217">
        <v>0</v>
      </c>
      <c r="BF16" s="217">
        <f>+'INGRESOS '!BG20+'INGRESOS '!BH20+'VEHICULOS '!BF69</f>
        <v>13335508</v>
      </c>
      <c r="BG16" s="217">
        <f>+EEFF!BB87</f>
        <v>89209048</v>
      </c>
      <c r="BH16" s="217">
        <f>+'INGRESOS '!BI20+'INGRESOS '!BJ20</f>
        <v>855508</v>
      </c>
      <c r="BI16" s="217">
        <v>0</v>
      </c>
      <c r="BJ16" s="217">
        <f>+'INGRESOS '!BK20+'INGRESOS '!BL20</f>
        <v>855508</v>
      </c>
      <c r="BK16" s="217">
        <v>0</v>
      </c>
      <c r="BL16" s="217">
        <f>+'INGRESOS '!BM20+'INGRESOS '!BN20</f>
        <v>855508</v>
      </c>
      <c r="BM16" s="217">
        <v>0</v>
      </c>
      <c r="BN16" s="217">
        <f>+'INGRESOS '!BO20+'INGRESOS '!BP20</f>
        <v>855508</v>
      </c>
      <c r="BO16" s="217">
        <v>0</v>
      </c>
      <c r="BP16" s="218">
        <f>SUM(BD16:BO16)</f>
        <v>106789188</v>
      </c>
    </row>
    <row r="17" spans="1:68" ht="15.75" thickBot="1" x14ac:dyDescent="0.3">
      <c r="B17" s="222"/>
      <c r="C17" s="223" t="s">
        <v>223</v>
      </c>
      <c r="D17" s="224">
        <f t="shared" ref="D17:AP17" si="7">SUM(D12:D16)</f>
        <v>182230454</v>
      </c>
      <c r="E17" s="224">
        <f t="shared" si="7"/>
        <v>28280077</v>
      </c>
      <c r="F17" s="224">
        <f t="shared" si="7"/>
        <v>27041698</v>
      </c>
      <c r="G17" s="224">
        <f t="shared" si="7"/>
        <v>28815791</v>
      </c>
      <c r="H17" s="224">
        <f t="shared" si="7"/>
        <v>27577412</v>
      </c>
      <c r="I17" s="224">
        <f t="shared" si="7"/>
        <v>28351505</v>
      </c>
      <c r="J17" s="224">
        <f t="shared" si="7"/>
        <v>184400725</v>
      </c>
      <c r="K17" s="224">
        <f t="shared" si="7"/>
        <v>45788477</v>
      </c>
      <c r="L17" s="224">
        <f t="shared" si="7"/>
        <v>42911717</v>
      </c>
      <c r="M17" s="224">
        <f t="shared" si="7"/>
        <v>47459905</v>
      </c>
      <c r="N17" s="224">
        <f t="shared" si="7"/>
        <v>43883146</v>
      </c>
      <c r="O17" s="224">
        <f t="shared" si="7"/>
        <v>47531334</v>
      </c>
      <c r="P17" s="224">
        <f t="shared" si="7"/>
        <v>734272241</v>
      </c>
      <c r="Q17" s="224">
        <f t="shared" si="7"/>
        <v>45667252</v>
      </c>
      <c r="R17" s="224">
        <f t="shared" si="7"/>
        <v>50453808</v>
      </c>
      <c r="S17" s="224">
        <f t="shared" si="7"/>
        <v>54940550</v>
      </c>
      <c r="T17" s="224">
        <f t="shared" si="7"/>
        <v>65086064</v>
      </c>
      <c r="U17" s="224">
        <f t="shared" si="7"/>
        <v>47947978</v>
      </c>
      <c r="V17" s="224">
        <f t="shared" si="7"/>
        <v>51660665</v>
      </c>
      <c r="W17" s="224">
        <f t="shared" si="7"/>
        <v>205217630</v>
      </c>
      <c r="X17" s="224">
        <f t="shared" si="7"/>
        <v>73066389</v>
      </c>
      <c r="Y17" s="224">
        <f t="shared" si="7"/>
        <v>68368503</v>
      </c>
      <c r="Z17" s="224">
        <f t="shared" si="7"/>
        <v>72861532</v>
      </c>
      <c r="AA17" s="224">
        <f t="shared" si="7"/>
        <v>69827646</v>
      </c>
      <c r="AB17" s="224">
        <f t="shared" si="7"/>
        <v>74448675</v>
      </c>
      <c r="AC17" s="224">
        <f t="shared" si="7"/>
        <v>879546692</v>
      </c>
      <c r="AD17" s="224">
        <f t="shared" si="7"/>
        <v>71595814.200000003</v>
      </c>
      <c r="AE17" s="224">
        <f t="shared" si="7"/>
        <v>78521009.200000003</v>
      </c>
      <c r="AF17" s="224">
        <f t="shared" si="7"/>
        <v>85572264.200000003</v>
      </c>
      <c r="AG17" s="224">
        <f t="shared" si="7"/>
        <v>134270164.19999999</v>
      </c>
      <c r="AH17" s="224">
        <f t="shared" si="7"/>
        <v>74605487.200000003</v>
      </c>
      <c r="AI17" s="224">
        <f t="shared" si="7"/>
        <v>81329215.200000003</v>
      </c>
      <c r="AJ17" s="224">
        <f t="shared" si="7"/>
        <v>73306549.200000003</v>
      </c>
      <c r="AK17" s="224">
        <f t="shared" si="7"/>
        <v>61538107.200000003</v>
      </c>
      <c r="AL17" s="224">
        <f t="shared" si="7"/>
        <v>56109362.200000003</v>
      </c>
      <c r="AM17" s="224">
        <f t="shared" si="7"/>
        <v>60239169.200000003</v>
      </c>
      <c r="AN17" s="224">
        <f t="shared" si="7"/>
        <v>57622585.200000003</v>
      </c>
      <c r="AO17" s="224">
        <f t="shared" si="7"/>
        <v>62346312.200000003</v>
      </c>
      <c r="AP17" s="224">
        <f t="shared" si="7"/>
        <v>897056039.39999998</v>
      </c>
      <c r="AQ17" s="276">
        <f t="shared" ref="AQ17:BC17" si="8">SUM(AQ12:AQ16)</f>
        <v>57130839.200000003</v>
      </c>
      <c r="AR17" s="224">
        <f t="shared" si="8"/>
        <v>58380091.200000003</v>
      </c>
      <c r="AS17" s="224">
        <f t="shared" si="8"/>
        <v>65406745.200000003</v>
      </c>
      <c r="AT17" s="224">
        <f t="shared" si="8"/>
        <v>137611517.19999999</v>
      </c>
      <c r="AU17" s="224">
        <f t="shared" si="8"/>
        <v>54496205.200000003</v>
      </c>
      <c r="AV17" s="224">
        <f t="shared" si="8"/>
        <v>61132059.200000003</v>
      </c>
      <c r="AW17" s="224">
        <f t="shared" si="8"/>
        <v>53141030.200000003</v>
      </c>
      <c r="AX17" s="224">
        <f t="shared" si="8"/>
        <v>58701520.200000003</v>
      </c>
      <c r="AY17" s="224">
        <f t="shared" si="8"/>
        <v>53248173.200000003</v>
      </c>
      <c r="AZ17" s="224">
        <f t="shared" si="8"/>
        <v>57346345.200000003</v>
      </c>
      <c r="BA17" s="224">
        <f t="shared" si="8"/>
        <v>54817634.200000003</v>
      </c>
      <c r="BB17" s="224">
        <f t="shared" si="8"/>
        <v>59453487.200000003</v>
      </c>
      <c r="BC17" s="224">
        <f t="shared" si="8"/>
        <v>770865647.39999998</v>
      </c>
      <c r="BD17" s="276">
        <f t="shared" ref="BD17:BP17" si="9">SUM(BD12:BD16)</f>
        <v>54281919.200000003</v>
      </c>
      <c r="BE17" s="224">
        <f t="shared" si="9"/>
        <v>60199818.200000003</v>
      </c>
      <c r="BF17" s="224">
        <f t="shared" si="9"/>
        <v>67200893.200000003</v>
      </c>
      <c r="BG17" s="224">
        <f t="shared" si="9"/>
        <v>149195204.19999999</v>
      </c>
      <c r="BH17" s="224">
        <f t="shared" si="9"/>
        <v>56348841.200000003</v>
      </c>
      <c r="BI17" s="224">
        <f t="shared" si="9"/>
        <v>62893299.200000003</v>
      </c>
      <c r="BJ17" s="224">
        <f t="shared" si="9"/>
        <v>54935178.200000003</v>
      </c>
      <c r="BK17" s="224">
        <f t="shared" si="9"/>
        <v>60521247.200000003</v>
      </c>
      <c r="BL17" s="224">
        <f t="shared" si="9"/>
        <v>55042321.200000003</v>
      </c>
      <c r="BM17" s="224">
        <f t="shared" si="9"/>
        <v>59107585.200000003</v>
      </c>
      <c r="BN17" s="224">
        <f t="shared" si="9"/>
        <v>56670269.200000003</v>
      </c>
      <c r="BO17" s="224">
        <f t="shared" si="9"/>
        <v>61214728.200000003</v>
      </c>
      <c r="BP17" s="225">
        <f t="shared" si="9"/>
        <v>797611304.39999998</v>
      </c>
    </row>
    <row r="18" spans="1:68" x14ac:dyDescent="0.25">
      <c r="B18" s="201"/>
      <c r="C18" s="219" t="s">
        <v>246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77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77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1"/>
    </row>
    <row r="19" spans="1:68" ht="16.5" thickBot="1" x14ac:dyDescent="0.3">
      <c r="B19" s="204" t="s">
        <v>224</v>
      </c>
      <c r="C19" s="205"/>
      <c r="D19" s="158">
        <f t="shared" ref="D19:AP19" si="10">+D10-D17</f>
        <v>42769546</v>
      </c>
      <c r="E19" s="158">
        <f t="shared" si="10"/>
        <v>-2680077</v>
      </c>
      <c r="F19" s="158">
        <f t="shared" si="10"/>
        <v>-1441698</v>
      </c>
      <c r="G19" s="158">
        <f t="shared" si="10"/>
        <v>-3215791</v>
      </c>
      <c r="H19" s="158">
        <f t="shared" si="10"/>
        <v>-1977412</v>
      </c>
      <c r="I19" s="158">
        <f t="shared" si="10"/>
        <v>-2751505</v>
      </c>
      <c r="J19" s="158">
        <f t="shared" si="10"/>
        <v>-23800725</v>
      </c>
      <c r="K19" s="158">
        <f t="shared" si="10"/>
        <v>5411523</v>
      </c>
      <c r="L19" s="158">
        <f t="shared" si="10"/>
        <v>8288283</v>
      </c>
      <c r="M19" s="158">
        <f t="shared" si="10"/>
        <v>3740095</v>
      </c>
      <c r="N19" s="158">
        <f t="shared" si="10"/>
        <v>7316854</v>
      </c>
      <c r="O19" s="158">
        <f t="shared" si="10"/>
        <v>3668666</v>
      </c>
      <c r="P19" s="158">
        <f t="shared" si="10"/>
        <v>35327759</v>
      </c>
      <c r="Q19" s="158">
        <f t="shared" si="10"/>
        <v>5532748</v>
      </c>
      <c r="R19" s="158">
        <f t="shared" si="10"/>
        <v>2794192</v>
      </c>
      <c r="S19" s="158">
        <f t="shared" si="10"/>
        <v>-1692550</v>
      </c>
      <c r="T19" s="158">
        <f t="shared" si="10"/>
        <v>-11838064</v>
      </c>
      <c r="U19" s="158">
        <f t="shared" si="10"/>
        <v>5300022</v>
      </c>
      <c r="V19" s="158">
        <f t="shared" si="10"/>
        <v>1587335</v>
      </c>
      <c r="W19" s="158">
        <f t="shared" si="10"/>
        <v>-31969630</v>
      </c>
      <c r="X19" s="158">
        <f t="shared" si="10"/>
        <v>6805611</v>
      </c>
      <c r="Y19" s="158">
        <f t="shared" si="10"/>
        <v>11503497</v>
      </c>
      <c r="Z19" s="158">
        <f t="shared" si="10"/>
        <v>7010468</v>
      </c>
      <c r="AA19" s="158">
        <f t="shared" si="10"/>
        <v>10044354</v>
      </c>
      <c r="AB19" s="158">
        <f t="shared" si="10"/>
        <v>5423325</v>
      </c>
      <c r="AC19" s="158">
        <f t="shared" si="10"/>
        <v>10501308</v>
      </c>
      <c r="AD19" s="158">
        <f t="shared" si="10"/>
        <v>8276185.799999997</v>
      </c>
      <c r="AE19" s="158">
        <f t="shared" si="10"/>
        <v>4545870.799999997</v>
      </c>
      <c r="AF19" s="158">
        <f t="shared" si="10"/>
        <v>-2505384.200000003</v>
      </c>
      <c r="AG19" s="158">
        <f t="shared" si="10"/>
        <v>-51203284.199999988</v>
      </c>
      <c r="AH19" s="158">
        <f t="shared" si="10"/>
        <v>8461392.799999997</v>
      </c>
      <c r="AI19" s="158">
        <f t="shared" si="10"/>
        <v>1737664.799999997</v>
      </c>
      <c r="AJ19" s="158">
        <f t="shared" si="10"/>
        <v>9760330.799999997</v>
      </c>
      <c r="AK19" s="158">
        <f t="shared" si="10"/>
        <v>21528772.799999997</v>
      </c>
      <c r="AL19" s="158">
        <f t="shared" si="10"/>
        <v>26957517.799999997</v>
      </c>
      <c r="AM19" s="158">
        <f t="shared" si="10"/>
        <v>22827710.799999997</v>
      </c>
      <c r="AN19" s="158">
        <f t="shared" si="10"/>
        <v>25444294.799999997</v>
      </c>
      <c r="AO19" s="158">
        <f t="shared" si="10"/>
        <v>20720567.799999997</v>
      </c>
      <c r="AP19" s="158">
        <f t="shared" si="10"/>
        <v>96551640.600000024</v>
      </c>
      <c r="AQ19" s="278">
        <f t="shared" ref="AQ19:BC19" si="11">+AQ10-AQ17</f>
        <v>25936040.799999997</v>
      </c>
      <c r="AR19" s="158">
        <f t="shared" si="11"/>
        <v>28009348.799999997</v>
      </c>
      <c r="AS19" s="158">
        <f t="shared" si="11"/>
        <v>20982694.799999997</v>
      </c>
      <c r="AT19" s="158">
        <f t="shared" si="11"/>
        <v>-51222077.199999988</v>
      </c>
      <c r="AU19" s="158">
        <f t="shared" si="11"/>
        <v>31893234.799999997</v>
      </c>
      <c r="AV19" s="158">
        <f t="shared" si="11"/>
        <v>25257380.799999997</v>
      </c>
      <c r="AW19" s="158">
        <f t="shared" si="11"/>
        <v>33248409.799999997</v>
      </c>
      <c r="AX19" s="158">
        <f t="shared" si="11"/>
        <v>27687919.799999997</v>
      </c>
      <c r="AY19" s="158">
        <f t="shared" si="11"/>
        <v>33141266.799999997</v>
      </c>
      <c r="AZ19" s="158">
        <f t="shared" si="11"/>
        <v>29043094.799999997</v>
      </c>
      <c r="BA19" s="158">
        <f t="shared" si="11"/>
        <v>31571805.799999997</v>
      </c>
      <c r="BB19" s="158">
        <f t="shared" si="11"/>
        <v>26935952.799999997</v>
      </c>
      <c r="BC19" s="158">
        <f t="shared" si="11"/>
        <v>262485072.60000002</v>
      </c>
      <c r="BD19" s="278">
        <f t="shared" ref="BD19:BP19" si="12">+BD10-BD17</f>
        <v>32107520.799999997</v>
      </c>
      <c r="BE19" s="158">
        <f t="shared" si="12"/>
        <v>29645621.799999997</v>
      </c>
      <c r="BF19" s="158">
        <f t="shared" si="12"/>
        <v>22644546.799999997</v>
      </c>
      <c r="BG19" s="158">
        <f t="shared" si="12"/>
        <v>-59349764.199999988</v>
      </c>
      <c r="BH19" s="158">
        <f t="shared" si="12"/>
        <v>33496598.799999997</v>
      </c>
      <c r="BI19" s="158">
        <f t="shared" si="12"/>
        <v>26952140.799999997</v>
      </c>
      <c r="BJ19" s="158">
        <f t="shared" si="12"/>
        <v>34910261.799999997</v>
      </c>
      <c r="BK19" s="158">
        <f t="shared" si="12"/>
        <v>29324192.799999997</v>
      </c>
      <c r="BL19" s="158">
        <f t="shared" si="12"/>
        <v>34803118.799999997</v>
      </c>
      <c r="BM19" s="158">
        <f t="shared" si="12"/>
        <v>30737854.799999997</v>
      </c>
      <c r="BN19" s="158">
        <f t="shared" si="12"/>
        <v>33175170.799999997</v>
      </c>
      <c r="BO19" s="158">
        <f t="shared" si="12"/>
        <v>28630711.799999997</v>
      </c>
      <c r="BP19" s="159">
        <f t="shared" si="12"/>
        <v>277077975.60000002</v>
      </c>
    </row>
    <row r="20" spans="1:68" x14ac:dyDescent="0.2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</row>
    <row r="21" spans="1:68" x14ac:dyDescent="0.25">
      <c r="C21" s="42" t="s">
        <v>291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8">
        <v>0.08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</row>
    <row r="22" spans="1:68" x14ac:dyDescent="0.25">
      <c r="C22" s="42" t="s">
        <v>290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8">
        <f>(((P21+1)^(1/12))-1)</f>
        <v>6.4340301100034303E-3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</row>
    <row r="23" spans="1:68" x14ac:dyDescent="0.25">
      <c r="C23" s="226" t="s">
        <v>288</v>
      </c>
      <c r="D23" s="24">
        <f t="shared" ref="D23:O23" si="13">D19/(1+$P$22)^D5</f>
        <v>42496124.654415034</v>
      </c>
      <c r="E23" s="24">
        <f t="shared" si="13"/>
        <v>-2645919.6146064545</v>
      </c>
      <c r="F23" s="24">
        <f t="shared" si="13"/>
        <v>-1414224.5013850143</v>
      </c>
      <c r="G23" s="24">
        <f t="shared" si="13"/>
        <v>-3134343.3087950973</v>
      </c>
      <c r="H23" s="24">
        <f t="shared" si="13"/>
        <v>-1915008.0352254543</v>
      </c>
      <c r="I23" s="24">
        <f t="shared" si="13"/>
        <v>-2647636.9207110023</v>
      </c>
      <c r="J23" s="24">
        <f t="shared" si="13"/>
        <v>-22755846.507820491</v>
      </c>
      <c r="K23" s="24">
        <f t="shared" si="13"/>
        <v>5140874.5360487336</v>
      </c>
      <c r="L23" s="24">
        <f t="shared" si="13"/>
        <v>7823421.961563468</v>
      </c>
      <c r="M23" s="24">
        <f t="shared" si="13"/>
        <v>3507757.0328164487</v>
      </c>
      <c r="N23" s="24">
        <f t="shared" si="13"/>
        <v>6818454.4990245365</v>
      </c>
      <c r="O23" s="24">
        <f t="shared" si="13"/>
        <v>3396912.9629629636</v>
      </c>
      <c r="P23" s="24">
        <f>SUM(D23:O23)</f>
        <v>34670566.758287676</v>
      </c>
      <c r="Q23" s="24">
        <f t="shared" ref="Q23:AB23" si="14">Q19/(1+$P$22)^Q5</f>
        <v>5090164.5428810464</v>
      </c>
      <c r="R23" s="24">
        <f t="shared" si="14"/>
        <v>2554240.9511812255</v>
      </c>
      <c r="S23" s="24">
        <f t="shared" si="14"/>
        <v>-1537311.2763041849</v>
      </c>
      <c r="T23" s="24">
        <f t="shared" si="14"/>
        <v>-10683552.198178753</v>
      </c>
      <c r="U23" s="24">
        <f t="shared" si="14"/>
        <v>4752557.1943191616</v>
      </c>
      <c r="V23" s="24">
        <f t="shared" si="14"/>
        <v>1414272.0517656091</v>
      </c>
      <c r="W23" s="24">
        <f t="shared" si="14"/>
        <v>-28301969.839302409</v>
      </c>
      <c r="X23" s="24">
        <f t="shared" si="14"/>
        <v>5986332.8767686961</v>
      </c>
      <c r="Y23" s="24">
        <f t="shared" si="14"/>
        <v>10053986.817626616</v>
      </c>
      <c r="Z23" s="24">
        <f t="shared" si="14"/>
        <v>6087936.6726163747</v>
      </c>
      <c r="AA23" s="24">
        <f t="shared" si="14"/>
        <v>8666820.7099378724</v>
      </c>
      <c r="AB23" s="24">
        <f t="shared" si="14"/>
        <v>4649627.0576131698</v>
      </c>
      <c r="AC23" s="24">
        <f>SUM(Q23:AB23)</f>
        <v>8733105.5609244257</v>
      </c>
      <c r="AD23" s="24">
        <f t="shared" ref="AD23:AO23" si="15">AD19/(1+$P$22)^AD5</f>
        <v>7050134.5921250591</v>
      </c>
      <c r="AE23" s="24">
        <f t="shared" si="15"/>
        <v>3847680.0489156689</v>
      </c>
      <c r="AF23" s="24">
        <f t="shared" si="15"/>
        <v>-2107030.8017238644</v>
      </c>
      <c r="AG23" s="24">
        <f t="shared" si="15"/>
        <v>-42786725.896077558</v>
      </c>
      <c r="AH23" s="24">
        <f t="shared" si="15"/>
        <v>7025347.0131647978</v>
      </c>
      <c r="AI23" s="24">
        <f t="shared" si="15"/>
        <v>1433529.4353585616</v>
      </c>
      <c r="AJ23" s="24">
        <f t="shared" si="15"/>
        <v>8000549.8483223189</v>
      </c>
      <c r="AK23" s="24">
        <f t="shared" si="15"/>
        <v>17534333.394998636</v>
      </c>
      <c r="AL23" s="24">
        <f t="shared" si="15"/>
        <v>21815469.951919429</v>
      </c>
      <c r="AM23" s="24">
        <f t="shared" si="15"/>
        <v>18355309.90428526</v>
      </c>
      <c r="AN23" s="24">
        <f t="shared" si="15"/>
        <v>20328459.329490401</v>
      </c>
      <c r="AO23" s="24">
        <f t="shared" si="15"/>
        <v>16448654.771884371</v>
      </c>
      <c r="AP23" s="24">
        <f>SUM(AD23:AO23)</f>
        <v>76945711.59266308</v>
      </c>
      <c r="AQ23" s="24">
        <f t="shared" ref="AQ23:BB23" si="16">AQ19/(1+$P$22)^AQ5</f>
        <v>20457242.87483025</v>
      </c>
      <c r="AR23" s="24">
        <f t="shared" si="16"/>
        <v>21951344.19425372</v>
      </c>
      <c r="AS23" s="24">
        <f t="shared" si="16"/>
        <v>16339323.010807382</v>
      </c>
      <c r="AT23" s="24">
        <f t="shared" si="16"/>
        <v>-39631879.435116611</v>
      </c>
      <c r="AU23" s="24">
        <f t="shared" si="16"/>
        <v>24518886.256149191</v>
      </c>
      <c r="AV23" s="24">
        <f t="shared" si="16"/>
        <v>19293240.047334749</v>
      </c>
      <c r="AW23" s="24">
        <f t="shared" si="16"/>
        <v>25234948.433110524</v>
      </c>
      <c r="AX23" s="24">
        <f t="shared" si="16"/>
        <v>20880291.540850203</v>
      </c>
      <c r="AY23" s="24">
        <f t="shared" si="16"/>
        <v>24833047.652286585</v>
      </c>
      <c r="AZ23" s="24">
        <f t="shared" si="16"/>
        <v>21623126.866392504</v>
      </c>
      <c r="BA23" s="24">
        <f t="shared" si="16"/>
        <v>23355529.286429778</v>
      </c>
      <c r="BB23" s="24">
        <f t="shared" si="16"/>
        <v>19798729.421516228</v>
      </c>
      <c r="BC23" s="24">
        <f>SUM(AQ23:BB23)</f>
        <v>198653830.14884454</v>
      </c>
      <c r="BD23" s="24">
        <f t="shared" ref="BD23:BO23" si="17">BD19/(1+$P$22)^BD5</f>
        <v>23449113.981870819</v>
      </c>
      <c r="BE23" s="24">
        <f t="shared" si="17"/>
        <v>21512699.756044772</v>
      </c>
      <c r="BF23" s="24">
        <f t="shared" si="17"/>
        <v>16327236.083389977</v>
      </c>
      <c r="BG23" s="24">
        <f t="shared" si="17"/>
        <v>-42518968.885899916</v>
      </c>
      <c r="BH23" s="24">
        <f t="shared" si="17"/>
        <v>23844000.642426029</v>
      </c>
      <c r="BI23" s="24">
        <f t="shared" si="17"/>
        <v>19062785.762599044</v>
      </c>
      <c r="BJ23" s="24">
        <f t="shared" si="17"/>
        <v>24533578.130576637</v>
      </c>
      <c r="BK23" s="24">
        <f t="shared" si="17"/>
        <v>20476161.234017745</v>
      </c>
      <c r="BL23" s="24">
        <f t="shared" si="17"/>
        <v>24146563.167288981</v>
      </c>
      <c r="BM23" s="24">
        <f t="shared" si="17"/>
        <v>21189729.036892109</v>
      </c>
      <c r="BN23" s="24">
        <f t="shared" si="17"/>
        <v>22723734.321165137</v>
      </c>
      <c r="BO23" s="24">
        <f t="shared" si="17"/>
        <v>19485581.370196015</v>
      </c>
      <c r="BP23" s="24">
        <f>SUM(BD23:BO23)</f>
        <v>194232214.60056737</v>
      </c>
    </row>
    <row r="24" spans="1:68" x14ac:dyDescent="0.25">
      <c r="C24" s="44" t="s">
        <v>289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>
        <f>+P23+AC23+AP23</f>
        <v>120349383.91187519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</row>
    <row r="25" spans="1:68" x14ac:dyDescent="0.25">
      <c r="C25" s="44" t="s">
        <v>292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229">
        <f>((1+P26)^12)-1</f>
        <v>0.47771485909641664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</row>
    <row r="26" spans="1:68" x14ac:dyDescent="0.25">
      <c r="A26" s="36"/>
      <c r="C26" s="44" t="s">
        <v>293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229">
        <f>IRR(C29:C89)</f>
        <v>3.3076668556972555E-2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</row>
    <row r="27" spans="1:68" x14ac:dyDescent="0.25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8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</row>
    <row r="28" spans="1:68" x14ac:dyDescent="0.25">
      <c r="A28" s="22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</row>
    <row r="29" spans="1:68" x14ac:dyDescent="0.25">
      <c r="A29" s="36"/>
      <c r="B29">
        <v>0</v>
      </c>
      <c r="C29" s="36">
        <v>-90000000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36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</row>
    <row r="30" spans="1:68" x14ac:dyDescent="0.25">
      <c r="A30" s="36"/>
      <c r="B30">
        <f>+B29+1</f>
        <v>1</v>
      </c>
      <c r="C30" s="36">
        <f>D19+C29</f>
        <v>-47230454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</row>
    <row r="31" spans="1:68" x14ac:dyDescent="0.25">
      <c r="A31" s="36"/>
      <c r="B31">
        <f t="shared" ref="B31:B88" si="18">+B30+1</f>
        <v>2</v>
      </c>
      <c r="C31" s="36">
        <f>+E19</f>
        <v>-2680077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</row>
    <row r="32" spans="1:68" x14ac:dyDescent="0.25">
      <c r="A32" s="36"/>
      <c r="B32">
        <f t="shared" si="18"/>
        <v>3</v>
      </c>
      <c r="C32" s="36">
        <f>+F19</f>
        <v>-1441698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</row>
    <row r="33" spans="2:68" x14ac:dyDescent="0.25">
      <c r="B33">
        <f t="shared" si="18"/>
        <v>4</v>
      </c>
      <c r="C33" s="36">
        <f>+G19</f>
        <v>-3215791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</row>
    <row r="34" spans="2:68" x14ac:dyDescent="0.25">
      <c r="B34">
        <f t="shared" si="18"/>
        <v>5</v>
      </c>
      <c r="C34" s="36">
        <f>+H19</f>
        <v>-1977412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</row>
    <row r="35" spans="2:68" x14ac:dyDescent="0.25">
      <c r="B35">
        <f t="shared" si="18"/>
        <v>6</v>
      </c>
      <c r="C35" s="36">
        <f>+I19</f>
        <v>-2751505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</row>
    <row r="36" spans="2:68" x14ac:dyDescent="0.25">
      <c r="B36">
        <f t="shared" si="18"/>
        <v>7</v>
      </c>
      <c r="C36" s="36">
        <f>+J19</f>
        <v>-23800725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</row>
    <row r="37" spans="2:68" x14ac:dyDescent="0.25">
      <c r="B37">
        <f t="shared" si="18"/>
        <v>8</v>
      </c>
      <c r="C37" s="36">
        <f>+K19</f>
        <v>5411523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</row>
    <row r="38" spans="2:68" x14ac:dyDescent="0.25">
      <c r="B38">
        <f t="shared" si="18"/>
        <v>9</v>
      </c>
      <c r="C38" s="36">
        <f>+L19</f>
        <v>8288283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</row>
    <row r="39" spans="2:68" x14ac:dyDescent="0.25">
      <c r="B39">
        <f t="shared" si="18"/>
        <v>10</v>
      </c>
      <c r="C39" s="36">
        <f>+M19</f>
        <v>3740095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</row>
    <row r="40" spans="2:68" x14ac:dyDescent="0.25">
      <c r="B40">
        <f t="shared" si="18"/>
        <v>11</v>
      </c>
      <c r="C40" s="36">
        <f>+N19</f>
        <v>7316854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</row>
    <row r="41" spans="2:68" x14ac:dyDescent="0.25">
      <c r="B41">
        <f t="shared" si="18"/>
        <v>12</v>
      </c>
      <c r="C41" s="36">
        <f>+O19</f>
        <v>3668666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</row>
    <row r="42" spans="2:68" x14ac:dyDescent="0.25">
      <c r="B42">
        <f t="shared" si="18"/>
        <v>13</v>
      </c>
      <c r="C42" s="36">
        <f>+Q19</f>
        <v>5532748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</row>
    <row r="43" spans="2:68" x14ac:dyDescent="0.25">
      <c r="B43">
        <f t="shared" si="18"/>
        <v>14</v>
      </c>
      <c r="C43" s="36">
        <f>+R19</f>
        <v>2794192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</row>
    <row r="44" spans="2:68" x14ac:dyDescent="0.25">
      <c r="B44">
        <f t="shared" si="18"/>
        <v>15</v>
      </c>
      <c r="C44" s="36">
        <f>+S19</f>
        <v>-1692550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</row>
    <row r="45" spans="2:68" x14ac:dyDescent="0.25">
      <c r="B45">
        <f t="shared" si="18"/>
        <v>16</v>
      </c>
      <c r="C45" s="36">
        <f>+T19</f>
        <v>-11838064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</row>
    <row r="46" spans="2:68" x14ac:dyDescent="0.25">
      <c r="B46">
        <f t="shared" si="18"/>
        <v>17</v>
      </c>
      <c r="C46" s="36">
        <f>+U19</f>
        <v>5300022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</row>
    <row r="47" spans="2:68" x14ac:dyDescent="0.25">
      <c r="B47">
        <f t="shared" si="18"/>
        <v>18</v>
      </c>
      <c r="C47" s="36">
        <f>+V19</f>
        <v>1587335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</row>
    <row r="48" spans="2:68" x14ac:dyDescent="0.25">
      <c r="B48">
        <f t="shared" si="18"/>
        <v>19</v>
      </c>
      <c r="C48" s="36">
        <f>+W19</f>
        <v>-31969630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</row>
    <row r="49" spans="2:68" x14ac:dyDescent="0.25">
      <c r="B49">
        <f t="shared" si="18"/>
        <v>20</v>
      </c>
      <c r="C49" s="36">
        <f>+X19</f>
        <v>6805611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</row>
    <row r="50" spans="2:68" x14ac:dyDescent="0.25">
      <c r="B50">
        <f t="shared" si="18"/>
        <v>21</v>
      </c>
      <c r="C50" s="36">
        <f>+Y19</f>
        <v>11503497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</row>
    <row r="51" spans="2:68" x14ac:dyDescent="0.25">
      <c r="B51">
        <f t="shared" si="18"/>
        <v>22</v>
      </c>
      <c r="C51" s="36">
        <f>+Z19</f>
        <v>7010468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</row>
    <row r="52" spans="2:68" x14ac:dyDescent="0.25">
      <c r="B52">
        <f t="shared" si="18"/>
        <v>23</v>
      </c>
      <c r="C52" s="36">
        <f>+AA19</f>
        <v>10044354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</row>
    <row r="53" spans="2:68" x14ac:dyDescent="0.25">
      <c r="B53">
        <f t="shared" si="18"/>
        <v>24</v>
      </c>
      <c r="C53" s="36">
        <f>+AB19</f>
        <v>5423325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</row>
    <row r="54" spans="2:68" x14ac:dyDescent="0.25">
      <c r="B54">
        <f t="shared" si="18"/>
        <v>25</v>
      </c>
      <c r="C54" s="36">
        <f>+AD19</f>
        <v>8276185.799999997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</row>
    <row r="55" spans="2:68" x14ac:dyDescent="0.25">
      <c r="B55">
        <f t="shared" si="18"/>
        <v>26</v>
      </c>
      <c r="C55" s="36">
        <f>+AE19</f>
        <v>4545870.799999997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</row>
    <row r="56" spans="2:68" x14ac:dyDescent="0.25">
      <c r="B56">
        <f t="shared" si="18"/>
        <v>27</v>
      </c>
      <c r="C56" s="36">
        <f>+AF19</f>
        <v>-2505384.200000003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</row>
    <row r="57" spans="2:68" x14ac:dyDescent="0.25">
      <c r="B57">
        <f t="shared" si="18"/>
        <v>28</v>
      </c>
      <c r="C57" s="36">
        <f>+AG19</f>
        <v>-51203284.199999988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</row>
    <row r="58" spans="2:68" x14ac:dyDescent="0.25">
      <c r="B58">
        <f t="shared" si="18"/>
        <v>29</v>
      </c>
      <c r="C58" s="36">
        <f>+AH19</f>
        <v>8461392.799999997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</row>
    <row r="59" spans="2:68" x14ac:dyDescent="0.25">
      <c r="B59">
        <f t="shared" si="18"/>
        <v>30</v>
      </c>
      <c r="C59" s="36">
        <f>+AI19</f>
        <v>1737664.799999997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</row>
    <row r="60" spans="2:68" x14ac:dyDescent="0.25">
      <c r="B60">
        <f t="shared" si="18"/>
        <v>31</v>
      </c>
      <c r="C60" s="36">
        <f>+AJ19</f>
        <v>9760330.799999997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</row>
    <row r="61" spans="2:68" x14ac:dyDescent="0.25">
      <c r="B61">
        <f t="shared" si="18"/>
        <v>32</v>
      </c>
      <c r="C61" s="36">
        <f>+AK19</f>
        <v>21528772.799999997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</row>
    <row r="62" spans="2:68" x14ac:dyDescent="0.25">
      <c r="B62">
        <f t="shared" si="18"/>
        <v>33</v>
      </c>
      <c r="C62" s="36">
        <f>+AL19</f>
        <v>26957517.799999997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</row>
    <row r="63" spans="2:68" x14ac:dyDescent="0.25">
      <c r="B63">
        <f t="shared" si="18"/>
        <v>34</v>
      </c>
      <c r="C63" s="36">
        <f>+AM19</f>
        <v>22827710.799999997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</row>
    <row r="64" spans="2:68" x14ac:dyDescent="0.25">
      <c r="B64">
        <f t="shared" si="18"/>
        <v>35</v>
      </c>
      <c r="C64" s="36">
        <f>+AN19</f>
        <v>25444294.799999997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2:68" x14ac:dyDescent="0.25">
      <c r="B65">
        <f t="shared" si="18"/>
        <v>36</v>
      </c>
      <c r="C65" s="36">
        <f>+AO19</f>
        <v>20720567.799999997</v>
      </c>
      <c r="D65" s="36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</row>
    <row r="66" spans="2:68" x14ac:dyDescent="0.25">
      <c r="B66">
        <f t="shared" si="18"/>
        <v>37</v>
      </c>
      <c r="C66" s="36">
        <f>+AQ19</f>
        <v>25936040.799999997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</row>
    <row r="67" spans="2:68" x14ac:dyDescent="0.25">
      <c r="B67">
        <f t="shared" si="18"/>
        <v>38</v>
      </c>
      <c r="C67" s="36">
        <f>+AR19</f>
        <v>28009348.799999997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</row>
    <row r="68" spans="2:68" x14ac:dyDescent="0.25">
      <c r="B68">
        <f t="shared" si="18"/>
        <v>39</v>
      </c>
      <c r="C68" s="36">
        <f>+AS19</f>
        <v>20982694.799999997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</row>
    <row r="69" spans="2:68" x14ac:dyDescent="0.25">
      <c r="B69">
        <f t="shared" si="18"/>
        <v>40</v>
      </c>
      <c r="C69" s="36">
        <f>+AT19</f>
        <v>-51222077.199999988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</row>
    <row r="70" spans="2:68" x14ac:dyDescent="0.25">
      <c r="B70">
        <f t="shared" si="18"/>
        <v>41</v>
      </c>
      <c r="C70" s="36">
        <f>+AU19</f>
        <v>31893234.799999997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</row>
    <row r="71" spans="2:68" x14ac:dyDescent="0.25">
      <c r="B71">
        <f t="shared" si="18"/>
        <v>42</v>
      </c>
      <c r="C71" s="36">
        <f>+AV19</f>
        <v>25257380.799999997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</row>
    <row r="72" spans="2:68" x14ac:dyDescent="0.25">
      <c r="B72">
        <f t="shared" si="18"/>
        <v>43</v>
      </c>
      <c r="C72" s="36">
        <f>+AW19</f>
        <v>33248409.799999997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</row>
    <row r="73" spans="2:68" x14ac:dyDescent="0.25">
      <c r="B73">
        <f t="shared" si="18"/>
        <v>44</v>
      </c>
      <c r="C73" s="36">
        <f>+AX19</f>
        <v>27687919.799999997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</row>
    <row r="74" spans="2:68" x14ac:dyDescent="0.25">
      <c r="B74">
        <f t="shared" si="18"/>
        <v>45</v>
      </c>
      <c r="C74" s="36">
        <f>+AY19</f>
        <v>33141266.799999997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</row>
    <row r="75" spans="2:68" x14ac:dyDescent="0.25">
      <c r="B75">
        <f t="shared" si="18"/>
        <v>46</v>
      </c>
      <c r="C75" s="36">
        <f>+AZ19</f>
        <v>29043094.799999997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</row>
    <row r="76" spans="2:68" x14ac:dyDescent="0.25">
      <c r="B76">
        <f t="shared" si="18"/>
        <v>47</v>
      </c>
      <c r="C76" s="36">
        <f>+BA19</f>
        <v>31571805.799999997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</row>
    <row r="77" spans="2:68" x14ac:dyDescent="0.25">
      <c r="B77">
        <f t="shared" si="18"/>
        <v>48</v>
      </c>
      <c r="C77" s="36">
        <f>+BB19</f>
        <v>26935952.799999997</v>
      </c>
      <c r="D77" s="36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</row>
    <row r="78" spans="2:68" x14ac:dyDescent="0.25">
      <c r="B78">
        <f t="shared" si="18"/>
        <v>49</v>
      </c>
      <c r="C78" s="36">
        <f>+BD19</f>
        <v>32107520.799999997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</row>
    <row r="79" spans="2:68" x14ac:dyDescent="0.25">
      <c r="B79">
        <f t="shared" si="18"/>
        <v>50</v>
      </c>
      <c r="C79" s="36">
        <f>+BE19</f>
        <v>29645621.799999997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</row>
    <row r="80" spans="2:68" x14ac:dyDescent="0.25">
      <c r="B80">
        <f t="shared" si="18"/>
        <v>51</v>
      </c>
      <c r="C80" s="36">
        <f>+BF19</f>
        <v>22644546.799999997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</row>
    <row r="81" spans="2:68" x14ac:dyDescent="0.25">
      <c r="B81">
        <f t="shared" si="18"/>
        <v>52</v>
      </c>
      <c r="C81" s="36">
        <f>+BG19</f>
        <v>-59349764.199999988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</row>
    <row r="82" spans="2:68" x14ac:dyDescent="0.25">
      <c r="B82">
        <f t="shared" si="18"/>
        <v>53</v>
      </c>
      <c r="C82" s="36">
        <f>+BH19</f>
        <v>33496598.799999997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</row>
    <row r="83" spans="2:68" x14ac:dyDescent="0.25">
      <c r="B83">
        <f t="shared" si="18"/>
        <v>54</v>
      </c>
      <c r="C83" s="36">
        <f>+BI19</f>
        <v>26952140.799999997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</row>
    <row r="84" spans="2:68" x14ac:dyDescent="0.25">
      <c r="B84">
        <f t="shared" si="18"/>
        <v>55</v>
      </c>
      <c r="C84" s="36">
        <f>+BJ19</f>
        <v>34910261.799999997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</row>
    <row r="85" spans="2:68" x14ac:dyDescent="0.25">
      <c r="B85">
        <f t="shared" si="18"/>
        <v>56</v>
      </c>
      <c r="C85" s="36">
        <f>+BK19</f>
        <v>29324192.799999997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</row>
    <row r="86" spans="2:68" x14ac:dyDescent="0.25">
      <c r="B86">
        <f t="shared" si="18"/>
        <v>57</v>
      </c>
      <c r="C86" s="36">
        <f>+BL19</f>
        <v>34803118.799999997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</row>
    <row r="87" spans="2:68" x14ac:dyDescent="0.25">
      <c r="B87">
        <f t="shared" si="18"/>
        <v>58</v>
      </c>
      <c r="C87" s="36">
        <f>+BM19</f>
        <v>30737854.799999997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</row>
    <row r="88" spans="2:68" x14ac:dyDescent="0.25">
      <c r="B88">
        <f t="shared" si="18"/>
        <v>59</v>
      </c>
      <c r="C88" s="36">
        <f>+BN19</f>
        <v>33175170.799999997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</row>
    <row r="89" spans="2:68" x14ac:dyDescent="0.25">
      <c r="B89">
        <v>60</v>
      </c>
      <c r="C89" s="36">
        <f>+BO19</f>
        <v>28630711.799999997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</row>
    <row r="90" spans="2:68" x14ac:dyDescent="0.25">
      <c r="B90" s="36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</row>
    <row r="91" spans="2:68" x14ac:dyDescent="0.25">
      <c r="B91" s="36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</row>
    <row r="92" spans="2:68" x14ac:dyDescent="0.25">
      <c r="B92" s="36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</row>
    <row r="93" spans="2:68" x14ac:dyDescent="0.25">
      <c r="B93" s="36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</row>
    <row r="94" spans="2:68" x14ac:dyDescent="0.25">
      <c r="B94" s="36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</row>
    <row r="95" spans="2:68" x14ac:dyDescent="0.25">
      <c r="B95" s="36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</row>
    <row r="96" spans="2:68" x14ac:dyDescent="0.25">
      <c r="B96" s="36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</row>
    <row r="97" spans="2:68" x14ac:dyDescent="0.25">
      <c r="B97" s="36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</row>
    <row r="98" spans="2:68" x14ac:dyDescent="0.25">
      <c r="B98" s="36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</row>
    <row r="99" spans="2:68" x14ac:dyDescent="0.25">
      <c r="B99" s="36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</row>
    <row r="100" spans="2:68" x14ac:dyDescent="0.25">
      <c r="B100" s="36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</row>
    <row r="101" spans="2:68" x14ac:dyDescent="0.25">
      <c r="B101" s="36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</row>
    <row r="102" spans="2:68" x14ac:dyDescent="0.25">
      <c r="B102" s="36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</row>
    <row r="103" spans="2:68" x14ac:dyDescent="0.25">
      <c r="B103" s="36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</row>
    <row r="104" spans="2:68" x14ac:dyDescent="0.25">
      <c r="B104" s="36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</row>
    <row r="105" spans="2:68" x14ac:dyDescent="0.25">
      <c r="B105" s="36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</row>
    <row r="106" spans="2:68" x14ac:dyDescent="0.25">
      <c r="B106" s="36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</row>
    <row r="107" spans="2:68" x14ac:dyDescent="0.25">
      <c r="B107" s="36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</row>
    <row r="108" spans="2:68" x14ac:dyDescent="0.25">
      <c r="B108" s="36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</row>
    <row r="109" spans="2:68" x14ac:dyDescent="0.25">
      <c r="B109" s="36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</row>
    <row r="110" spans="2:68" x14ac:dyDescent="0.25">
      <c r="B110" s="36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</row>
    <row r="111" spans="2:68" x14ac:dyDescent="0.25">
      <c r="B111" s="36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</row>
    <row r="112" spans="2:68" x14ac:dyDescent="0.25">
      <c r="B112" s="36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</row>
    <row r="113" spans="2:68" x14ac:dyDescent="0.25">
      <c r="B113" s="36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</row>
    <row r="114" spans="2:68" x14ac:dyDescent="0.25">
      <c r="B114" s="36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</row>
    <row r="115" spans="2:68" x14ac:dyDescent="0.25">
      <c r="B115" s="36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</row>
    <row r="116" spans="2:68" x14ac:dyDescent="0.25">
      <c r="B116" s="36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</row>
    <row r="117" spans="2:68" x14ac:dyDescent="0.25">
      <c r="B117" s="36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</row>
    <row r="118" spans="2:68" x14ac:dyDescent="0.25">
      <c r="B118" s="36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</row>
    <row r="119" spans="2:68" x14ac:dyDescent="0.25">
      <c r="B119" s="36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</row>
    <row r="120" spans="2:68" x14ac:dyDescent="0.25">
      <c r="B120" s="36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</row>
    <row r="121" spans="2:68" x14ac:dyDescent="0.25">
      <c r="B121" s="36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</row>
    <row r="122" spans="2:68" x14ac:dyDescent="0.25">
      <c r="B122" s="36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</row>
    <row r="123" spans="2:68" x14ac:dyDescent="0.25">
      <c r="B123" s="36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</row>
    <row r="124" spans="2:68" x14ac:dyDescent="0.25">
      <c r="B124" s="36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</row>
    <row r="125" spans="2:68" x14ac:dyDescent="0.25">
      <c r="B125" s="36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</row>
    <row r="126" spans="2:68" x14ac:dyDescent="0.25">
      <c r="B126" s="36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</row>
    <row r="127" spans="2:68" x14ac:dyDescent="0.25">
      <c r="B127" s="36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</row>
    <row r="128" spans="2:68" x14ac:dyDescent="0.25">
      <c r="B128" s="36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</row>
    <row r="129" spans="2:68" x14ac:dyDescent="0.25">
      <c r="B129" s="36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</row>
    <row r="130" spans="2:68" x14ac:dyDescent="0.25">
      <c r="B130" s="36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</row>
    <row r="131" spans="2:68" x14ac:dyDescent="0.25">
      <c r="B131" s="36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</row>
    <row r="132" spans="2:68" x14ac:dyDescent="0.25">
      <c r="B132" s="36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</row>
    <row r="133" spans="2:68" x14ac:dyDescent="0.25">
      <c r="B133" s="36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</row>
    <row r="134" spans="2:68" x14ac:dyDescent="0.25">
      <c r="B134" s="36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</row>
    <row r="135" spans="2:68" x14ac:dyDescent="0.25">
      <c r="B135" s="36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</row>
    <row r="136" spans="2:68" x14ac:dyDescent="0.25">
      <c r="B136" s="36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</row>
    <row r="137" spans="2:68" x14ac:dyDescent="0.25">
      <c r="B137" s="36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</row>
    <row r="138" spans="2:68" x14ac:dyDescent="0.25">
      <c r="B138" s="36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</row>
    <row r="139" spans="2:68" x14ac:dyDescent="0.25">
      <c r="B139" s="36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</row>
    <row r="140" spans="2:68" x14ac:dyDescent="0.25">
      <c r="B140" s="36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</row>
    <row r="141" spans="2:68" x14ac:dyDescent="0.25">
      <c r="B141" s="36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</row>
    <row r="142" spans="2:68" x14ac:dyDescent="0.25">
      <c r="B142" s="36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</row>
    <row r="143" spans="2:68" x14ac:dyDescent="0.25">
      <c r="B143" s="36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</row>
    <row r="144" spans="2:68" x14ac:dyDescent="0.25">
      <c r="B144" s="36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</row>
    <row r="145" spans="2:68" x14ac:dyDescent="0.25">
      <c r="B145" s="36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</row>
    <row r="146" spans="2:68" x14ac:dyDescent="0.25">
      <c r="B146" s="36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</row>
    <row r="147" spans="2:68" x14ac:dyDescent="0.2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</row>
    <row r="148" spans="2:68" x14ac:dyDescent="0.2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</row>
    <row r="149" spans="2:68" x14ac:dyDescent="0.2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</row>
    <row r="150" spans="2:68" x14ac:dyDescent="0.2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</row>
    <row r="151" spans="2:68" x14ac:dyDescent="0.2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</row>
    <row r="152" spans="2:68" x14ac:dyDescent="0.2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</row>
    <row r="153" spans="2:68" x14ac:dyDescent="0.2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</row>
    <row r="154" spans="2:68" x14ac:dyDescent="0.2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</row>
    <row r="155" spans="2:68" x14ac:dyDescent="0.2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</row>
    <row r="156" spans="2:68" x14ac:dyDescent="0.2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</row>
    <row r="157" spans="2:68" x14ac:dyDescent="0.2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</row>
    <row r="158" spans="2:68" x14ac:dyDescent="0.2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</row>
    <row r="159" spans="2:68" x14ac:dyDescent="0.2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</row>
    <row r="160" spans="2:68" x14ac:dyDescent="0.2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</row>
    <row r="161" spans="4:68" x14ac:dyDescent="0.2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</row>
    <row r="162" spans="4:68" x14ac:dyDescent="0.2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</row>
    <row r="163" spans="4:68" x14ac:dyDescent="0.2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</row>
    <row r="164" spans="4:68" x14ac:dyDescent="0.2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</row>
    <row r="165" spans="4:68" x14ac:dyDescent="0.2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</row>
    <row r="166" spans="4:68" x14ac:dyDescent="0.2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</row>
    <row r="167" spans="4:68" x14ac:dyDescent="0.2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</row>
    <row r="168" spans="4:68" x14ac:dyDescent="0.2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</row>
    <row r="169" spans="4:68" x14ac:dyDescent="0.2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</row>
    <row r="170" spans="4:68" x14ac:dyDescent="0.2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</row>
    <row r="171" spans="4:68" x14ac:dyDescent="0.2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</row>
    <row r="172" spans="4:68" x14ac:dyDescent="0.2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</row>
    <row r="173" spans="4:68" x14ac:dyDescent="0.2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</row>
    <row r="174" spans="4:68" x14ac:dyDescent="0.2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</row>
    <row r="175" spans="4:68" x14ac:dyDescent="0.2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</row>
    <row r="176" spans="4:68" x14ac:dyDescent="0.2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</row>
    <row r="177" spans="4:68" x14ac:dyDescent="0.2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</row>
    <row r="178" spans="4:68" x14ac:dyDescent="0.25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</row>
    <row r="179" spans="4:68" x14ac:dyDescent="0.25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</row>
    <row r="180" spans="4:68" x14ac:dyDescent="0.25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</row>
    <row r="181" spans="4:68" x14ac:dyDescent="0.25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</row>
    <row r="182" spans="4:68" x14ac:dyDescent="0.25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</row>
    <row r="183" spans="4:68" x14ac:dyDescent="0.25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</row>
    <row r="184" spans="4:68" x14ac:dyDescent="0.25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</row>
    <row r="185" spans="4:68" x14ac:dyDescent="0.25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</row>
    <row r="186" spans="4:68" x14ac:dyDescent="0.25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</row>
    <row r="187" spans="4:68" x14ac:dyDescent="0.25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</row>
    <row r="188" spans="4:68" x14ac:dyDescent="0.25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</row>
    <row r="189" spans="4:68" x14ac:dyDescent="0.2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</row>
    <row r="190" spans="4:68" x14ac:dyDescent="0.2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</row>
    <row r="191" spans="4:68" x14ac:dyDescent="0.2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</row>
    <row r="192" spans="4:68" x14ac:dyDescent="0.25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</row>
    <row r="193" spans="4:68" x14ac:dyDescent="0.25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</row>
    <row r="194" spans="4:68" x14ac:dyDescent="0.25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</row>
    <row r="195" spans="4:68" x14ac:dyDescent="0.25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</row>
    <row r="196" spans="4:68" x14ac:dyDescent="0.2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</row>
    <row r="197" spans="4:68" x14ac:dyDescent="0.2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</row>
    <row r="198" spans="4:68" x14ac:dyDescent="0.2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</row>
    <row r="199" spans="4:68" x14ac:dyDescent="0.25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</row>
    <row r="200" spans="4:68" x14ac:dyDescent="0.25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</row>
    <row r="201" spans="4:68" x14ac:dyDescent="0.25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</row>
    <row r="202" spans="4:68" x14ac:dyDescent="0.25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</row>
    <row r="203" spans="4:68" x14ac:dyDescent="0.25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</row>
    <row r="204" spans="4:68" x14ac:dyDescent="0.25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</row>
    <row r="205" spans="4:68" x14ac:dyDescent="0.25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</row>
    <row r="206" spans="4:68" x14ac:dyDescent="0.25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</row>
    <row r="207" spans="4:68" x14ac:dyDescent="0.25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</row>
    <row r="208" spans="4:68" x14ac:dyDescent="0.25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</row>
    <row r="209" spans="4:68" x14ac:dyDescent="0.25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</row>
    <row r="210" spans="4:68" x14ac:dyDescent="0.25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</row>
    <row r="211" spans="4:68" x14ac:dyDescent="0.25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</row>
    <row r="212" spans="4:68" x14ac:dyDescent="0.25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</row>
    <row r="213" spans="4:68" x14ac:dyDescent="0.25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</row>
    <row r="214" spans="4:68" x14ac:dyDescent="0.25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</row>
    <row r="215" spans="4:68" x14ac:dyDescent="0.25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</row>
    <row r="216" spans="4:68" x14ac:dyDescent="0.25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</row>
    <row r="217" spans="4:68" x14ac:dyDescent="0.25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</row>
  </sheetData>
  <mergeCells count="2">
    <mergeCell ref="B5:C5"/>
    <mergeCell ref="B3:BP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6"/>
  <sheetViews>
    <sheetView zoomScale="115" zoomScaleNormal="115" workbookViewId="0">
      <pane xSplit="3" ySplit="5" topLeftCell="D15" activePane="bottomRight" state="frozen"/>
      <selection pane="topRight" activeCell="D1" sqref="D1"/>
      <selection pane="bottomLeft" activeCell="A3" sqref="A3"/>
      <selection pane="bottomRight" activeCell="C29" sqref="C29"/>
    </sheetView>
  </sheetViews>
  <sheetFormatPr baseColWidth="10" defaultColWidth="11.42578125" defaultRowHeight="15" x14ac:dyDescent="0.25"/>
  <cols>
    <col min="1" max="1" width="13.42578125" bestFit="1" customWidth="1"/>
    <col min="2" max="2" width="4.5703125" customWidth="1"/>
    <col min="3" max="3" width="33.5703125" customWidth="1"/>
    <col min="4" max="4" width="15.5703125" customWidth="1"/>
    <col min="5" max="7" width="14.5703125" customWidth="1"/>
    <col min="8" max="9" width="15" bestFit="1" customWidth="1"/>
  </cols>
  <sheetData>
    <row r="3" spans="2:9" ht="26.25" x14ac:dyDescent="0.4">
      <c r="B3" s="358" t="s">
        <v>299</v>
      </c>
      <c r="C3" s="357"/>
      <c r="D3" s="357"/>
      <c r="E3" s="357"/>
      <c r="F3" s="357"/>
      <c r="G3" s="357"/>
      <c r="H3" s="357"/>
      <c r="I3" s="357"/>
    </row>
    <row r="4" spans="2:9" ht="15.75" thickBot="1" x14ac:dyDescent="0.3"/>
    <row r="5" spans="2:9" ht="15.75" thickBot="1" x14ac:dyDescent="0.3">
      <c r="B5" s="355" t="s">
        <v>284</v>
      </c>
      <c r="C5" s="356"/>
      <c r="D5" s="279" t="s">
        <v>303</v>
      </c>
      <c r="E5" s="230" t="s">
        <v>97</v>
      </c>
      <c r="F5" s="230" t="s">
        <v>98</v>
      </c>
      <c r="G5" s="230" t="s">
        <v>99</v>
      </c>
      <c r="H5" s="279" t="s">
        <v>294</v>
      </c>
      <c r="I5" s="232" t="s">
        <v>295</v>
      </c>
    </row>
    <row r="6" spans="2:9" x14ac:dyDescent="0.25">
      <c r="B6" s="287"/>
      <c r="C6" s="285"/>
      <c r="D6" s="126"/>
      <c r="E6" s="174"/>
      <c r="F6" s="174"/>
      <c r="G6" s="174"/>
      <c r="H6" s="174"/>
      <c r="I6" s="208"/>
    </row>
    <row r="7" spans="2:9" x14ac:dyDescent="0.25">
      <c r="B7" s="286" t="s">
        <v>300</v>
      </c>
      <c r="C7" s="281"/>
      <c r="D7" s="122"/>
      <c r="E7" s="164">
        <f>+EEFF!P77</f>
        <v>67189352</v>
      </c>
      <c r="F7" s="164">
        <f>+EEFF!AC77</f>
        <v>198377209</v>
      </c>
      <c r="G7" s="164">
        <f>+EEFF!AP77</f>
        <v>250898632.60000002</v>
      </c>
      <c r="H7" s="164">
        <f>+EEFF!BC77</f>
        <v>270385470.60000002</v>
      </c>
      <c r="I7" s="211">
        <f>+EEFF!BP77</f>
        <v>290291192.60000002</v>
      </c>
    </row>
    <row r="8" spans="2:9" x14ac:dyDescent="0.25">
      <c r="B8" s="283"/>
      <c r="C8" s="210" t="s">
        <v>206</v>
      </c>
      <c r="D8" s="122"/>
      <c r="E8" s="164">
        <f>+EEFF!P71</f>
        <v>47599999.999999993</v>
      </c>
      <c r="F8" s="164">
        <f>+EEFF!AC71</f>
        <v>77600000</v>
      </c>
      <c r="G8" s="164">
        <f>+EEFF!AP71</f>
        <v>92600000.000000015</v>
      </c>
      <c r="H8" s="164">
        <f>+EEFF!BC71</f>
        <v>91599999.999999985</v>
      </c>
      <c r="I8" s="211">
        <f>+EEFF!BP71</f>
        <v>91599999.999999985</v>
      </c>
    </row>
    <row r="9" spans="2:9" x14ac:dyDescent="0.25">
      <c r="B9" s="283"/>
      <c r="C9" s="281" t="s">
        <v>301</v>
      </c>
      <c r="D9" s="122"/>
      <c r="E9" s="164"/>
      <c r="F9" s="164"/>
      <c r="G9" s="164"/>
      <c r="H9" s="164"/>
      <c r="I9" s="211"/>
    </row>
    <row r="10" spans="2:9" x14ac:dyDescent="0.25">
      <c r="B10" s="283" t="s">
        <v>302</v>
      </c>
      <c r="C10" s="281"/>
      <c r="D10" s="122"/>
      <c r="E10" s="164">
        <f>SUM(E7:E9)</f>
        <v>114789352</v>
      </c>
      <c r="F10" s="164">
        <f>SUM(F7:F9)</f>
        <v>275977209</v>
      </c>
      <c r="G10" s="164">
        <f>SUM(G7:G9)</f>
        <v>343498632.60000002</v>
      </c>
      <c r="H10" s="164">
        <f>SUM(H7:H9)</f>
        <v>361985470.60000002</v>
      </c>
      <c r="I10" s="211">
        <f>SUM(I7:I9)</f>
        <v>381891192.60000002</v>
      </c>
    </row>
    <row r="11" spans="2:9" x14ac:dyDescent="0.25">
      <c r="B11" s="283"/>
      <c r="C11" s="281"/>
      <c r="D11" s="122"/>
      <c r="E11" s="164"/>
      <c r="F11" s="164"/>
      <c r="G11" s="164"/>
      <c r="H11" s="164"/>
      <c r="I11" s="211"/>
    </row>
    <row r="12" spans="2:9" x14ac:dyDescent="0.25">
      <c r="B12" s="280" t="s">
        <v>304</v>
      </c>
      <c r="C12" s="281"/>
      <c r="D12" s="122"/>
      <c r="E12" s="164"/>
      <c r="F12" s="164"/>
      <c r="G12" s="164"/>
      <c r="H12" s="164"/>
      <c r="I12" s="211"/>
    </row>
    <row r="13" spans="2:9" x14ac:dyDescent="0.25">
      <c r="B13" s="199"/>
      <c r="C13" s="198" t="s">
        <v>205</v>
      </c>
      <c r="D13" s="74">
        <v>150000000</v>
      </c>
      <c r="E13" s="74">
        <v>150000000</v>
      </c>
      <c r="F13" s="74">
        <v>150000000</v>
      </c>
      <c r="G13" s="74"/>
      <c r="H13" s="74"/>
      <c r="I13" s="211"/>
    </row>
    <row r="14" spans="2:9" x14ac:dyDescent="0.25">
      <c r="B14" s="202"/>
      <c r="C14" s="198" t="s">
        <v>305</v>
      </c>
      <c r="D14" s="74">
        <v>11000000</v>
      </c>
      <c r="E14" s="74"/>
      <c r="F14" s="74"/>
      <c r="G14" s="74"/>
      <c r="H14" s="74"/>
      <c r="I14" s="76"/>
    </row>
    <row r="15" spans="2:9" x14ac:dyDescent="0.25">
      <c r="B15" s="202"/>
      <c r="C15" s="203" t="s">
        <v>308</v>
      </c>
      <c r="D15" s="74"/>
      <c r="E15" s="74"/>
      <c r="F15" s="74"/>
      <c r="G15" s="74"/>
      <c r="H15" s="74"/>
      <c r="I15" s="76">
        <f>'VALOR RES.'!G10</f>
        <v>105900000</v>
      </c>
    </row>
    <row r="16" spans="2:9" x14ac:dyDescent="0.25">
      <c r="B16" s="202"/>
      <c r="C16" s="198" t="s">
        <v>306</v>
      </c>
      <c r="D16" s="74">
        <f>+EEFF!P63/12</f>
        <v>38400000</v>
      </c>
      <c r="E16" s="74">
        <f>(EEFF!AC63/12)-SUM($D$16:D16)</f>
        <v>28160000</v>
      </c>
      <c r="F16" s="74">
        <f>(EEFF!AP63/12)-SUM($D$16:E16)</f>
        <v>16506880</v>
      </c>
      <c r="G16" s="74">
        <f>(EEFF!BC63/12)-SUM($D$16:F16)</f>
        <v>3322560</v>
      </c>
      <c r="H16" s="74">
        <f>(EEFF!BP63/12)-SUM($D$16:G16)</f>
        <v>3456000</v>
      </c>
      <c r="I16" s="76"/>
    </row>
    <row r="17" spans="2:9" x14ac:dyDescent="0.25">
      <c r="B17" s="202"/>
      <c r="C17" s="203" t="s">
        <v>311</v>
      </c>
      <c r="D17" s="74"/>
      <c r="E17" s="74"/>
      <c r="F17" s="74"/>
      <c r="G17" s="74"/>
      <c r="H17" s="74"/>
      <c r="I17" s="76">
        <f>SUM(D16:H16)</f>
        <v>89845440</v>
      </c>
    </row>
    <row r="18" spans="2:9" x14ac:dyDescent="0.25">
      <c r="B18" s="202"/>
      <c r="C18" s="198" t="s">
        <v>307</v>
      </c>
      <c r="D18" s="74">
        <f>(+ADMINISTRATIVOS!O32+NOMINA!P29)/12</f>
        <v>20840042.166666668</v>
      </c>
      <c r="E18" s="74"/>
      <c r="F18" s="74"/>
      <c r="G18" s="74"/>
      <c r="H18" s="74"/>
      <c r="I18" s="76"/>
    </row>
    <row r="19" spans="2:9" x14ac:dyDescent="0.25">
      <c r="B19" s="202"/>
      <c r="C19" s="198"/>
      <c r="D19" s="74"/>
      <c r="E19" s="74"/>
      <c r="F19" s="74"/>
      <c r="G19" s="74"/>
      <c r="H19" s="74"/>
      <c r="I19" s="76"/>
    </row>
    <row r="20" spans="2:9" x14ac:dyDescent="0.25">
      <c r="B20" s="282" t="s">
        <v>309</v>
      </c>
      <c r="C20" s="209"/>
      <c r="D20" s="171">
        <f t="shared" ref="D20:I20" si="0">+D10-D13-D14+D15-D16+D17-D18</f>
        <v>-220240042.16666666</v>
      </c>
      <c r="E20" s="171">
        <f t="shared" si="0"/>
        <v>-63370648</v>
      </c>
      <c r="F20" s="171">
        <f t="shared" si="0"/>
        <v>109470329</v>
      </c>
      <c r="G20" s="171">
        <f t="shared" si="0"/>
        <v>340176072.60000002</v>
      </c>
      <c r="H20" s="171">
        <f t="shared" si="0"/>
        <v>358529470.60000002</v>
      </c>
      <c r="I20" s="172">
        <f t="shared" si="0"/>
        <v>577636632.60000002</v>
      </c>
    </row>
    <row r="21" spans="2:9" x14ac:dyDescent="0.25">
      <c r="B21" s="202"/>
      <c r="C21" s="198"/>
      <c r="D21" s="74"/>
      <c r="E21" s="77">
        <v>0.33</v>
      </c>
      <c r="F21" s="77">
        <v>0.33</v>
      </c>
      <c r="G21" s="77">
        <v>0.33</v>
      </c>
      <c r="H21" s="77">
        <v>0.33</v>
      </c>
      <c r="I21" s="284">
        <v>0.33</v>
      </c>
    </row>
    <row r="22" spans="2:9" x14ac:dyDescent="0.25">
      <c r="B22" s="282" t="s">
        <v>310</v>
      </c>
      <c r="C22" s="209"/>
      <c r="D22" s="171"/>
      <c r="E22" s="171">
        <f>+E7*E21</f>
        <v>22172486.16</v>
      </c>
      <c r="F22" s="171">
        <f>+F7*F21</f>
        <v>65464478.970000006</v>
      </c>
      <c r="G22" s="171">
        <f>+G7*G21</f>
        <v>82796548.758000016</v>
      </c>
      <c r="H22" s="171">
        <f>+H7*H21</f>
        <v>89227205.298000008</v>
      </c>
      <c r="I22" s="172">
        <f>+I7*I21</f>
        <v>95796093.558000013</v>
      </c>
    </row>
    <row r="23" spans="2:9" x14ac:dyDescent="0.25">
      <c r="B23" s="282"/>
      <c r="C23" s="209"/>
      <c r="D23" s="171"/>
      <c r="E23" s="171"/>
      <c r="F23" s="171"/>
      <c r="G23" s="171"/>
      <c r="H23" s="171"/>
      <c r="I23" s="101"/>
    </row>
    <row r="24" spans="2:9" x14ac:dyDescent="0.25">
      <c r="B24" s="282" t="s">
        <v>299</v>
      </c>
      <c r="C24" s="209"/>
      <c r="D24" s="171">
        <f t="shared" ref="D24:I24" si="1">+D20-D22</f>
        <v>-220240042.16666666</v>
      </c>
      <c r="E24" s="171">
        <f t="shared" si="1"/>
        <v>-85543134.159999996</v>
      </c>
      <c r="F24" s="171">
        <f t="shared" si="1"/>
        <v>44005850.029999994</v>
      </c>
      <c r="G24" s="171">
        <f t="shared" si="1"/>
        <v>257379523.84200001</v>
      </c>
      <c r="H24" s="171">
        <f t="shared" si="1"/>
        <v>269302265.30200005</v>
      </c>
      <c r="I24" s="172">
        <f t="shared" si="1"/>
        <v>481840539.042</v>
      </c>
    </row>
    <row r="25" spans="2:9" x14ac:dyDescent="0.25">
      <c r="B25" s="282" t="s">
        <v>312</v>
      </c>
      <c r="C25" s="209"/>
      <c r="D25" s="306">
        <f>IRR(D24:I24)</f>
        <v>0.39249685095891662</v>
      </c>
      <c r="E25" s="171"/>
      <c r="F25" s="171"/>
      <c r="G25" s="171"/>
      <c r="H25" s="171"/>
      <c r="I25" s="172"/>
    </row>
    <row r="26" spans="2:9" x14ac:dyDescent="0.25">
      <c r="B26" s="282" t="s">
        <v>327</v>
      </c>
      <c r="C26" s="209"/>
      <c r="D26" s="306">
        <f>WACC!C9</f>
        <v>0.16508571428571428</v>
      </c>
      <c r="E26" s="171"/>
      <c r="F26" s="171"/>
      <c r="G26" s="171"/>
      <c r="H26" s="171"/>
      <c r="I26" s="172"/>
    </row>
    <row r="27" spans="2:9" ht="15.75" thickBot="1" x14ac:dyDescent="0.3">
      <c r="B27" s="288"/>
      <c r="C27" s="289"/>
      <c r="D27" s="290"/>
      <c r="E27" s="109"/>
      <c r="F27" s="109"/>
      <c r="G27" s="109"/>
      <c r="H27" s="109"/>
      <c r="I27" s="110"/>
    </row>
    <row r="28" spans="2:9" x14ac:dyDescent="0.25">
      <c r="B28" s="36"/>
      <c r="E28" s="24"/>
      <c r="F28" s="24"/>
      <c r="G28" s="24"/>
      <c r="H28" s="24"/>
      <c r="I28" s="24"/>
    </row>
    <row r="29" spans="2:9" x14ac:dyDescent="0.25">
      <c r="B29" s="36"/>
      <c r="E29" s="24"/>
      <c r="F29" s="24"/>
      <c r="G29" s="24"/>
      <c r="H29" s="24"/>
      <c r="I29" s="24"/>
    </row>
    <row r="30" spans="2:9" x14ac:dyDescent="0.25">
      <c r="B30" s="36"/>
      <c r="E30" s="24"/>
      <c r="F30" s="24"/>
      <c r="G30" s="24"/>
      <c r="H30" s="24"/>
      <c r="I30" s="24"/>
    </row>
    <row r="31" spans="2:9" x14ac:dyDescent="0.25">
      <c r="B31" s="36"/>
      <c r="E31" s="24"/>
      <c r="F31" s="24"/>
      <c r="G31" s="24"/>
      <c r="H31" s="24"/>
      <c r="I31" s="24"/>
    </row>
    <row r="32" spans="2:9" x14ac:dyDescent="0.25">
      <c r="B32" s="36"/>
      <c r="E32" s="24"/>
      <c r="F32" s="24"/>
      <c r="G32" s="24"/>
      <c r="H32" s="24"/>
      <c r="I32" s="24"/>
    </row>
    <row r="33" spans="2:9" x14ac:dyDescent="0.25">
      <c r="B33" s="36"/>
      <c r="E33" s="24"/>
      <c r="F33" s="24"/>
      <c r="G33" s="24"/>
      <c r="H33" s="24"/>
      <c r="I33" s="24"/>
    </row>
    <row r="34" spans="2:9" x14ac:dyDescent="0.25">
      <c r="B34" s="36"/>
      <c r="E34" s="24"/>
      <c r="F34" s="24"/>
      <c r="G34" s="24"/>
      <c r="H34" s="24"/>
      <c r="I34" s="24"/>
    </row>
    <row r="35" spans="2:9" x14ac:dyDescent="0.25">
      <c r="B35" s="36"/>
      <c r="E35" s="24"/>
      <c r="F35" s="24"/>
      <c r="G35" s="24"/>
      <c r="H35" s="24"/>
      <c r="I35" s="24"/>
    </row>
    <row r="36" spans="2:9" x14ac:dyDescent="0.25">
      <c r="B36" s="36"/>
      <c r="E36" s="24"/>
      <c r="F36" s="24"/>
      <c r="G36" s="24"/>
      <c r="H36" s="24"/>
      <c r="I36" s="24"/>
    </row>
    <row r="37" spans="2:9" x14ac:dyDescent="0.25">
      <c r="B37" s="36"/>
      <c r="E37" s="24"/>
      <c r="F37" s="24"/>
      <c r="G37" s="24"/>
      <c r="H37" s="24"/>
      <c r="I37" s="24"/>
    </row>
    <row r="38" spans="2:9" x14ac:dyDescent="0.25">
      <c r="B38" s="36"/>
      <c r="E38" s="24"/>
      <c r="F38" s="24"/>
      <c r="G38" s="24"/>
      <c r="H38" s="24"/>
      <c r="I38" s="24"/>
    </row>
    <row r="39" spans="2:9" x14ac:dyDescent="0.25">
      <c r="B39" s="36"/>
      <c r="E39" s="24"/>
      <c r="F39" s="24"/>
      <c r="G39" s="24"/>
      <c r="H39" s="24"/>
      <c r="I39" s="24"/>
    </row>
    <row r="40" spans="2:9" x14ac:dyDescent="0.25">
      <c r="B40" s="36"/>
      <c r="E40" s="24"/>
      <c r="F40" s="24"/>
      <c r="G40" s="24"/>
      <c r="H40" s="24"/>
      <c r="I40" s="24"/>
    </row>
    <row r="41" spans="2:9" x14ac:dyDescent="0.25">
      <c r="B41" s="36"/>
      <c r="E41" s="24"/>
      <c r="F41" s="24"/>
      <c r="G41" s="24"/>
      <c r="H41" s="24"/>
      <c r="I41" s="24"/>
    </row>
    <row r="42" spans="2:9" x14ac:dyDescent="0.25">
      <c r="B42" s="36"/>
      <c r="E42" s="24"/>
      <c r="F42" s="24"/>
      <c r="G42" s="24"/>
      <c r="H42" s="24"/>
      <c r="I42" s="24"/>
    </row>
    <row r="43" spans="2:9" x14ac:dyDescent="0.25">
      <c r="B43" s="36"/>
      <c r="E43" s="24"/>
      <c r="F43" s="24"/>
      <c r="G43" s="24"/>
      <c r="H43" s="24"/>
      <c r="I43" s="24"/>
    </row>
    <row r="44" spans="2:9" x14ac:dyDescent="0.25">
      <c r="B44" s="36"/>
      <c r="E44" s="24"/>
      <c r="F44" s="24"/>
      <c r="G44" s="24"/>
      <c r="H44" s="24"/>
      <c r="I44" s="24"/>
    </row>
    <row r="45" spans="2:9" x14ac:dyDescent="0.25">
      <c r="B45" s="36"/>
      <c r="E45" s="24"/>
      <c r="F45" s="24"/>
      <c r="G45" s="24"/>
      <c r="H45" s="24"/>
      <c r="I45" s="24"/>
    </row>
    <row r="46" spans="2:9" x14ac:dyDescent="0.25">
      <c r="B46" s="36"/>
      <c r="E46" s="24"/>
      <c r="F46" s="24"/>
      <c r="G46" s="24"/>
      <c r="H46" s="24"/>
      <c r="I46" s="24"/>
    </row>
    <row r="47" spans="2:9" x14ac:dyDescent="0.25">
      <c r="B47" s="36"/>
      <c r="E47" s="24"/>
      <c r="F47" s="24"/>
      <c r="G47" s="24"/>
      <c r="H47" s="24"/>
      <c r="I47" s="24"/>
    </row>
    <row r="48" spans="2:9" x14ac:dyDescent="0.25">
      <c r="B48" s="36"/>
      <c r="E48" s="24"/>
      <c r="F48" s="24"/>
      <c r="G48" s="24"/>
      <c r="H48" s="24"/>
      <c r="I48" s="24"/>
    </row>
    <row r="49" spans="2:9" x14ac:dyDescent="0.25">
      <c r="B49" s="36"/>
      <c r="E49" s="24"/>
      <c r="F49" s="24"/>
      <c r="G49" s="24"/>
      <c r="H49" s="24"/>
      <c r="I49" s="24"/>
    </row>
    <row r="50" spans="2:9" x14ac:dyDescent="0.25">
      <c r="B50" s="36"/>
      <c r="E50" s="24"/>
      <c r="F50" s="24"/>
      <c r="G50" s="24"/>
      <c r="H50" s="24"/>
      <c r="I50" s="24"/>
    </row>
    <row r="51" spans="2:9" x14ac:dyDescent="0.25">
      <c r="B51" s="36"/>
      <c r="E51" s="24"/>
      <c r="F51" s="24"/>
      <c r="G51" s="24"/>
      <c r="H51" s="24"/>
      <c r="I51" s="24"/>
    </row>
    <row r="52" spans="2:9" x14ac:dyDescent="0.25">
      <c r="B52" s="36"/>
      <c r="E52" s="24"/>
      <c r="F52" s="24"/>
      <c r="G52" s="24"/>
      <c r="H52" s="24"/>
      <c r="I52" s="24"/>
    </row>
    <row r="53" spans="2:9" x14ac:dyDescent="0.25">
      <c r="B53" s="36"/>
      <c r="E53" s="24"/>
      <c r="F53" s="24"/>
      <c r="G53" s="24"/>
      <c r="H53" s="24"/>
      <c r="I53" s="24"/>
    </row>
    <row r="54" spans="2:9" x14ac:dyDescent="0.25">
      <c r="B54" s="36"/>
      <c r="E54" s="24"/>
      <c r="F54" s="24"/>
      <c r="G54" s="24"/>
      <c r="H54" s="24"/>
      <c r="I54" s="24"/>
    </row>
    <row r="55" spans="2:9" x14ac:dyDescent="0.25">
      <c r="B55" s="36"/>
      <c r="E55" s="24"/>
      <c r="F55" s="24"/>
      <c r="G55" s="24"/>
      <c r="H55" s="24"/>
      <c r="I55" s="24"/>
    </row>
    <row r="56" spans="2:9" x14ac:dyDescent="0.25">
      <c r="E56" s="24"/>
      <c r="F56" s="24"/>
      <c r="G56" s="24"/>
      <c r="H56" s="24"/>
      <c r="I56" s="24"/>
    </row>
    <row r="57" spans="2:9" x14ac:dyDescent="0.25">
      <c r="E57" s="24"/>
      <c r="F57" s="24"/>
      <c r="G57" s="24"/>
      <c r="H57" s="24"/>
      <c r="I57" s="24"/>
    </row>
    <row r="58" spans="2:9" x14ac:dyDescent="0.25">
      <c r="E58" s="24"/>
      <c r="F58" s="24"/>
      <c r="G58" s="24"/>
      <c r="H58" s="24"/>
      <c r="I58" s="24"/>
    </row>
    <row r="59" spans="2:9" x14ac:dyDescent="0.25">
      <c r="E59" s="24"/>
      <c r="F59" s="24"/>
      <c r="G59" s="24"/>
      <c r="H59" s="24"/>
      <c r="I59" s="24"/>
    </row>
    <row r="60" spans="2:9" x14ac:dyDescent="0.25">
      <c r="E60" s="24"/>
      <c r="F60" s="24"/>
      <c r="G60" s="24"/>
      <c r="H60" s="24"/>
      <c r="I60" s="24"/>
    </row>
    <row r="61" spans="2:9" x14ac:dyDescent="0.25">
      <c r="E61" s="24"/>
      <c r="F61" s="24"/>
      <c r="G61" s="24"/>
      <c r="H61" s="24"/>
      <c r="I61" s="24"/>
    </row>
    <row r="62" spans="2:9" x14ac:dyDescent="0.25">
      <c r="E62" s="24"/>
      <c r="F62" s="24"/>
      <c r="G62" s="24"/>
      <c r="H62" s="24"/>
      <c r="I62" s="24"/>
    </row>
    <row r="63" spans="2:9" x14ac:dyDescent="0.25">
      <c r="E63" s="24"/>
      <c r="F63" s="24"/>
      <c r="G63" s="24"/>
      <c r="H63" s="24"/>
      <c r="I63" s="24"/>
    </row>
    <row r="64" spans="2:9" x14ac:dyDescent="0.25">
      <c r="E64" s="24"/>
      <c r="F64" s="24"/>
      <c r="G64" s="24"/>
      <c r="H64" s="24"/>
      <c r="I64" s="24"/>
    </row>
    <row r="65" spans="5:9" x14ac:dyDescent="0.25">
      <c r="E65" s="24"/>
      <c r="F65" s="24"/>
      <c r="G65" s="24"/>
      <c r="H65" s="24"/>
      <c r="I65" s="24"/>
    </row>
    <row r="66" spans="5:9" x14ac:dyDescent="0.25">
      <c r="E66" s="24"/>
      <c r="F66" s="24"/>
      <c r="G66" s="24"/>
      <c r="H66" s="24"/>
      <c r="I66" s="24"/>
    </row>
    <row r="67" spans="5:9" x14ac:dyDescent="0.25">
      <c r="E67" s="24"/>
      <c r="F67" s="24"/>
      <c r="G67" s="24"/>
      <c r="H67" s="24"/>
      <c r="I67" s="24"/>
    </row>
    <row r="68" spans="5:9" x14ac:dyDescent="0.25">
      <c r="E68" s="24"/>
      <c r="F68" s="24"/>
      <c r="G68" s="24"/>
      <c r="H68" s="24"/>
      <c r="I68" s="24"/>
    </row>
    <row r="69" spans="5:9" x14ac:dyDescent="0.25">
      <c r="E69" s="24"/>
      <c r="F69" s="24"/>
      <c r="G69" s="24"/>
      <c r="H69" s="24"/>
      <c r="I69" s="24"/>
    </row>
    <row r="70" spans="5:9" x14ac:dyDescent="0.25">
      <c r="E70" s="24"/>
      <c r="F70" s="24"/>
      <c r="G70" s="24"/>
      <c r="H70" s="24"/>
      <c r="I70" s="24"/>
    </row>
    <row r="71" spans="5:9" x14ac:dyDescent="0.25">
      <c r="E71" s="24"/>
      <c r="F71" s="24"/>
      <c r="G71" s="24"/>
      <c r="H71" s="24"/>
      <c r="I71" s="24"/>
    </row>
    <row r="72" spans="5:9" x14ac:dyDescent="0.25">
      <c r="E72" s="24"/>
      <c r="F72" s="24"/>
      <c r="G72" s="24"/>
      <c r="H72" s="24"/>
      <c r="I72" s="24"/>
    </row>
    <row r="73" spans="5:9" x14ac:dyDescent="0.25">
      <c r="E73" s="24"/>
      <c r="F73" s="24"/>
      <c r="G73" s="24"/>
      <c r="H73" s="24"/>
      <c r="I73" s="24"/>
    </row>
    <row r="74" spans="5:9" x14ac:dyDescent="0.25">
      <c r="E74" s="24"/>
      <c r="F74" s="24"/>
      <c r="G74" s="24"/>
      <c r="H74" s="24"/>
      <c r="I74" s="24"/>
    </row>
    <row r="75" spans="5:9" x14ac:dyDescent="0.25">
      <c r="E75" s="24"/>
      <c r="F75" s="24"/>
      <c r="G75" s="24"/>
      <c r="H75" s="24"/>
      <c r="I75" s="24"/>
    </row>
    <row r="76" spans="5:9" x14ac:dyDescent="0.25">
      <c r="E76" s="24"/>
      <c r="F76" s="24"/>
      <c r="G76" s="24"/>
      <c r="H76" s="24"/>
      <c r="I76" s="24"/>
    </row>
    <row r="77" spans="5:9" x14ac:dyDescent="0.25">
      <c r="E77" s="24"/>
      <c r="F77" s="24"/>
      <c r="G77" s="24"/>
      <c r="H77" s="24"/>
      <c r="I77" s="24"/>
    </row>
    <row r="78" spans="5:9" x14ac:dyDescent="0.25">
      <c r="E78" s="24"/>
      <c r="F78" s="24"/>
      <c r="G78" s="24"/>
      <c r="H78" s="24"/>
      <c r="I78" s="24"/>
    </row>
    <row r="79" spans="5:9" x14ac:dyDescent="0.25">
      <c r="E79" s="24"/>
      <c r="F79" s="24"/>
      <c r="G79" s="24"/>
      <c r="H79" s="24"/>
      <c r="I79" s="24"/>
    </row>
    <row r="80" spans="5:9" x14ac:dyDescent="0.25">
      <c r="E80" s="24"/>
      <c r="F80" s="24"/>
      <c r="G80" s="24"/>
      <c r="H80" s="24"/>
      <c r="I80" s="24"/>
    </row>
    <row r="81" spans="5:9" x14ac:dyDescent="0.25">
      <c r="E81" s="24"/>
      <c r="F81" s="24"/>
      <c r="G81" s="24"/>
      <c r="H81" s="24"/>
      <c r="I81" s="24"/>
    </row>
    <row r="82" spans="5:9" x14ac:dyDescent="0.25">
      <c r="E82" s="24"/>
      <c r="F82" s="24"/>
      <c r="G82" s="24"/>
      <c r="H82" s="24"/>
      <c r="I82" s="24"/>
    </row>
    <row r="83" spans="5:9" x14ac:dyDescent="0.25">
      <c r="E83" s="24"/>
      <c r="F83" s="24"/>
      <c r="G83" s="24"/>
      <c r="H83" s="24"/>
      <c r="I83" s="24"/>
    </row>
    <row r="84" spans="5:9" x14ac:dyDescent="0.25">
      <c r="E84" s="24"/>
      <c r="F84" s="24"/>
      <c r="G84" s="24"/>
      <c r="H84" s="24"/>
      <c r="I84" s="24"/>
    </row>
    <row r="85" spans="5:9" x14ac:dyDescent="0.25">
      <c r="E85" s="24"/>
      <c r="F85" s="24"/>
      <c r="G85" s="24"/>
      <c r="H85" s="24"/>
      <c r="I85" s="24"/>
    </row>
    <row r="86" spans="5:9" x14ac:dyDescent="0.25">
      <c r="E86" s="24"/>
      <c r="F86" s="24"/>
      <c r="G86" s="24"/>
      <c r="H86" s="24"/>
      <c r="I86" s="24"/>
    </row>
    <row r="87" spans="5:9" x14ac:dyDescent="0.25">
      <c r="E87" s="24"/>
      <c r="F87" s="24"/>
      <c r="G87" s="24"/>
      <c r="H87" s="24"/>
      <c r="I87" s="24"/>
    </row>
    <row r="88" spans="5:9" x14ac:dyDescent="0.25">
      <c r="E88" s="24"/>
      <c r="F88" s="24"/>
      <c r="G88" s="24"/>
      <c r="H88" s="24"/>
      <c r="I88" s="24"/>
    </row>
    <row r="89" spans="5:9" x14ac:dyDescent="0.25">
      <c r="E89" s="24"/>
      <c r="F89" s="24"/>
      <c r="G89" s="24"/>
      <c r="H89" s="24"/>
      <c r="I89" s="24"/>
    </row>
    <row r="90" spans="5:9" x14ac:dyDescent="0.25">
      <c r="E90" s="24"/>
      <c r="F90" s="24"/>
      <c r="G90" s="24"/>
      <c r="H90" s="24"/>
      <c r="I90" s="24"/>
    </row>
    <row r="91" spans="5:9" x14ac:dyDescent="0.25">
      <c r="E91" s="24"/>
      <c r="F91" s="24"/>
      <c r="G91" s="24"/>
      <c r="H91" s="24"/>
      <c r="I91" s="24"/>
    </row>
    <row r="92" spans="5:9" x14ac:dyDescent="0.25">
      <c r="E92" s="24"/>
      <c r="F92" s="24"/>
      <c r="G92" s="24"/>
      <c r="H92" s="24"/>
      <c r="I92" s="24"/>
    </row>
    <row r="93" spans="5:9" x14ac:dyDescent="0.25">
      <c r="E93" s="24"/>
      <c r="F93" s="24"/>
      <c r="G93" s="24"/>
      <c r="H93" s="24"/>
      <c r="I93" s="24"/>
    </row>
    <row r="94" spans="5:9" x14ac:dyDescent="0.25">
      <c r="E94" s="24"/>
      <c r="F94" s="24"/>
      <c r="G94" s="24"/>
      <c r="H94" s="24"/>
      <c r="I94" s="24"/>
    </row>
    <row r="95" spans="5:9" x14ac:dyDescent="0.25">
      <c r="E95" s="24"/>
      <c r="F95" s="24"/>
      <c r="G95" s="24"/>
      <c r="H95" s="24"/>
      <c r="I95" s="24"/>
    </row>
    <row r="96" spans="5:9" x14ac:dyDescent="0.25">
      <c r="E96" s="24"/>
      <c r="F96" s="24"/>
      <c r="G96" s="24"/>
      <c r="H96" s="24"/>
      <c r="I96" s="24"/>
    </row>
    <row r="97" spans="5:9" x14ac:dyDescent="0.25">
      <c r="E97" s="24"/>
      <c r="F97" s="24"/>
      <c r="G97" s="24"/>
      <c r="H97" s="24"/>
      <c r="I97" s="24"/>
    </row>
    <row r="98" spans="5:9" x14ac:dyDescent="0.25">
      <c r="E98" s="24"/>
      <c r="F98" s="24"/>
      <c r="G98" s="24"/>
      <c r="H98" s="24"/>
      <c r="I98" s="24"/>
    </row>
    <row r="99" spans="5:9" x14ac:dyDescent="0.25">
      <c r="E99" s="24"/>
      <c r="F99" s="24"/>
      <c r="G99" s="24"/>
      <c r="H99" s="24"/>
      <c r="I99" s="24"/>
    </row>
    <row r="100" spans="5:9" x14ac:dyDescent="0.25">
      <c r="E100" s="24"/>
      <c r="F100" s="24"/>
      <c r="G100" s="24"/>
      <c r="H100" s="24"/>
      <c r="I100" s="24"/>
    </row>
    <row r="101" spans="5:9" x14ac:dyDescent="0.25">
      <c r="E101" s="24"/>
      <c r="F101" s="24"/>
      <c r="G101" s="24"/>
      <c r="H101" s="24"/>
      <c r="I101" s="24"/>
    </row>
    <row r="102" spans="5:9" x14ac:dyDescent="0.25">
      <c r="E102" s="24"/>
      <c r="F102" s="24"/>
      <c r="G102" s="24"/>
      <c r="H102" s="24"/>
      <c r="I102" s="24"/>
    </row>
    <row r="103" spans="5:9" x14ac:dyDescent="0.25">
      <c r="E103" s="24"/>
      <c r="F103" s="24"/>
      <c r="G103" s="24"/>
      <c r="H103" s="24"/>
      <c r="I103" s="24"/>
    </row>
    <row r="104" spans="5:9" x14ac:dyDescent="0.25">
      <c r="E104" s="24"/>
      <c r="F104" s="24"/>
      <c r="G104" s="24"/>
      <c r="H104" s="24"/>
      <c r="I104" s="24"/>
    </row>
    <row r="105" spans="5:9" x14ac:dyDescent="0.25">
      <c r="E105" s="24"/>
      <c r="F105" s="24"/>
      <c r="G105" s="24"/>
      <c r="H105" s="24"/>
      <c r="I105" s="24"/>
    </row>
    <row r="106" spans="5:9" x14ac:dyDescent="0.25">
      <c r="E106" s="24"/>
      <c r="F106" s="24"/>
      <c r="G106" s="24"/>
      <c r="H106" s="24"/>
      <c r="I106" s="24"/>
    </row>
    <row r="107" spans="5:9" x14ac:dyDescent="0.25">
      <c r="E107" s="24"/>
      <c r="F107" s="24"/>
      <c r="G107" s="24"/>
      <c r="H107" s="24"/>
      <c r="I107" s="24"/>
    </row>
    <row r="108" spans="5:9" x14ac:dyDescent="0.25">
      <c r="E108" s="24"/>
      <c r="F108" s="24"/>
      <c r="G108" s="24"/>
      <c r="H108" s="24"/>
      <c r="I108" s="24"/>
    </row>
    <row r="109" spans="5:9" x14ac:dyDescent="0.25">
      <c r="E109" s="24"/>
      <c r="F109" s="24"/>
      <c r="G109" s="24"/>
      <c r="H109" s="24"/>
      <c r="I109" s="24"/>
    </row>
    <row r="110" spans="5:9" x14ac:dyDescent="0.25">
      <c r="E110" s="24"/>
      <c r="F110" s="24"/>
      <c r="G110" s="24"/>
      <c r="H110" s="24"/>
      <c r="I110" s="24"/>
    </row>
    <row r="111" spans="5:9" x14ac:dyDescent="0.25">
      <c r="E111" s="24"/>
      <c r="F111" s="24"/>
      <c r="G111" s="24"/>
      <c r="H111" s="24"/>
      <c r="I111" s="24"/>
    </row>
    <row r="112" spans="5:9" x14ac:dyDescent="0.25">
      <c r="E112" s="24"/>
      <c r="F112" s="24"/>
      <c r="G112" s="24"/>
      <c r="H112" s="24"/>
      <c r="I112" s="24"/>
    </row>
    <row r="113" spans="5:9" x14ac:dyDescent="0.25">
      <c r="E113" s="24"/>
      <c r="F113" s="24"/>
      <c r="G113" s="24"/>
      <c r="H113" s="24"/>
      <c r="I113" s="24"/>
    </row>
    <row r="114" spans="5:9" x14ac:dyDescent="0.25">
      <c r="E114" s="24"/>
      <c r="F114" s="24"/>
      <c r="G114" s="24"/>
      <c r="H114" s="24"/>
      <c r="I114" s="24"/>
    </row>
    <row r="115" spans="5:9" x14ac:dyDescent="0.25">
      <c r="E115" s="24"/>
      <c r="F115" s="24"/>
      <c r="G115" s="24"/>
      <c r="H115" s="24"/>
      <c r="I115" s="24"/>
    </row>
    <row r="116" spans="5:9" x14ac:dyDescent="0.25">
      <c r="E116" s="24"/>
      <c r="F116" s="24"/>
      <c r="G116" s="24"/>
      <c r="H116" s="24"/>
      <c r="I116" s="24"/>
    </row>
    <row r="117" spans="5:9" x14ac:dyDescent="0.25">
      <c r="E117" s="24"/>
      <c r="F117" s="24"/>
      <c r="G117" s="24"/>
      <c r="H117" s="24"/>
      <c r="I117" s="24"/>
    </row>
    <row r="118" spans="5:9" x14ac:dyDescent="0.25">
      <c r="E118" s="24"/>
      <c r="F118" s="24"/>
      <c r="G118" s="24"/>
      <c r="H118" s="24"/>
      <c r="I118" s="24"/>
    </row>
    <row r="119" spans="5:9" x14ac:dyDescent="0.25">
      <c r="E119" s="24"/>
      <c r="F119" s="24"/>
      <c r="G119" s="24"/>
      <c r="H119" s="24"/>
      <c r="I119" s="24"/>
    </row>
    <row r="120" spans="5:9" x14ac:dyDescent="0.25">
      <c r="E120" s="24"/>
      <c r="F120" s="24"/>
      <c r="G120" s="24"/>
      <c r="H120" s="24"/>
      <c r="I120" s="24"/>
    </row>
    <row r="121" spans="5:9" x14ac:dyDescent="0.25">
      <c r="E121" s="24"/>
      <c r="F121" s="24"/>
      <c r="G121" s="24"/>
      <c r="H121" s="24"/>
      <c r="I121" s="24"/>
    </row>
    <row r="122" spans="5:9" x14ac:dyDescent="0.25">
      <c r="E122" s="24"/>
      <c r="F122" s="24"/>
      <c r="G122" s="24"/>
      <c r="H122" s="24"/>
      <c r="I122" s="24"/>
    </row>
    <row r="123" spans="5:9" x14ac:dyDescent="0.25">
      <c r="E123" s="24"/>
      <c r="F123" s="24"/>
      <c r="G123" s="24"/>
      <c r="H123" s="24"/>
      <c r="I123" s="24"/>
    </row>
    <row r="124" spans="5:9" x14ac:dyDescent="0.25">
      <c r="E124" s="24"/>
      <c r="F124" s="24"/>
      <c r="G124" s="24"/>
      <c r="H124" s="24"/>
      <c r="I124" s="24"/>
    </row>
    <row r="125" spans="5:9" x14ac:dyDescent="0.25">
      <c r="E125" s="24"/>
      <c r="F125" s="24"/>
      <c r="G125" s="24"/>
      <c r="H125" s="24"/>
      <c r="I125" s="24"/>
    </row>
    <row r="126" spans="5:9" x14ac:dyDescent="0.25">
      <c r="E126" s="24"/>
      <c r="F126" s="24"/>
      <c r="G126" s="24"/>
      <c r="H126" s="24"/>
      <c r="I126" s="24"/>
    </row>
  </sheetData>
  <mergeCells count="2">
    <mergeCell ref="B3:I3"/>
    <mergeCell ref="B5:C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zoomScale="120" zoomScaleNormal="120" workbookViewId="0">
      <selection activeCell="B2" sqref="B2:G2"/>
    </sheetView>
  </sheetViews>
  <sheetFormatPr baseColWidth="10" defaultRowHeight="15" x14ac:dyDescent="0.25"/>
  <cols>
    <col min="2" max="2" width="24.5703125" bestFit="1" customWidth="1"/>
    <col min="3" max="3" width="14.28515625" customWidth="1"/>
    <col min="4" max="5" width="13.140625" customWidth="1"/>
    <col min="6" max="6" width="15" customWidth="1"/>
    <col min="7" max="7" width="14.85546875" customWidth="1"/>
  </cols>
  <sheetData>
    <row r="1" spans="2:7" ht="15.75" thickBot="1" x14ac:dyDescent="0.3"/>
    <row r="2" spans="2:7" ht="16.5" thickBot="1" x14ac:dyDescent="0.3">
      <c r="B2" s="359" t="s">
        <v>330</v>
      </c>
      <c r="C2" s="360"/>
      <c r="D2" s="360"/>
      <c r="E2" s="360"/>
      <c r="F2" s="360"/>
      <c r="G2" s="361"/>
    </row>
    <row r="3" spans="2:7" x14ac:dyDescent="0.25">
      <c r="B3" s="326" t="s">
        <v>331</v>
      </c>
      <c r="C3" s="327" t="s">
        <v>54</v>
      </c>
      <c r="D3" s="327" t="s">
        <v>55</v>
      </c>
      <c r="E3" s="327" t="s">
        <v>56</v>
      </c>
      <c r="F3" s="327" t="s">
        <v>296</v>
      </c>
      <c r="G3" s="328" t="s">
        <v>297</v>
      </c>
    </row>
    <row r="4" spans="2:7" x14ac:dyDescent="0.25">
      <c r="B4" s="329" t="s">
        <v>332</v>
      </c>
      <c r="C4" s="330">
        <f>EEFF!P10/EEFF!P30</f>
        <v>14.841716956513311</v>
      </c>
      <c r="D4" s="330">
        <f>EEFF!AC10/EEFF!AC30</f>
        <v>13.958149780224856</v>
      </c>
      <c r="E4" s="330">
        <f>EEFF!AP10/EEFF!AP30</f>
        <v>21.751998474786994</v>
      </c>
      <c r="F4" s="330">
        <f>EEFF!BC10/EEFF!BC30</f>
        <v>46.076013330903493</v>
      </c>
      <c r="G4" s="330">
        <f>EEFF!BP10/EEFF!BP30</f>
        <v>70.413800987996638</v>
      </c>
    </row>
    <row r="5" spans="2:7" x14ac:dyDescent="0.25">
      <c r="B5" s="329" t="s">
        <v>333</v>
      </c>
      <c r="C5" s="331">
        <f>EEFF!P63/EEFF!P23</f>
        <v>1.3168432287762573</v>
      </c>
      <c r="D5" s="331">
        <f>EEFF!AC63/EEFF!AC23</f>
        <v>1.730700223928193</v>
      </c>
      <c r="E5" s="331">
        <f>EEFF!AP63/EEFF!AP23</f>
        <v>2.126976829443942</v>
      </c>
      <c r="F5" s="324">
        <f>EEFF!BC63/EEFF!BC23</f>
        <v>1.612607702987118</v>
      </c>
      <c r="G5" s="325">
        <f>EEFF!BP63/EEFF!BP23</f>
        <v>1.2961761050082639</v>
      </c>
    </row>
    <row r="6" spans="2:7" x14ac:dyDescent="0.25">
      <c r="B6" s="329" t="s">
        <v>334</v>
      </c>
      <c r="C6" s="332">
        <f>EEFF!P77/EEFF!P63</f>
        <v>0.14581022569444443</v>
      </c>
      <c r="D6" s="332">
        <f>EEFF!AC77/EEFF!AC63</f>
        <v>0.24836890149238783</v>
      </c>
      <c r="E6" s="332">
        <f>EEFF!AP77/EEFF!AP63</f>
        <v>0.25170343924477884</v>
      </c>
      <c r="F6" s="318">
        <f>EEFF!BC77/EEFF!BC63</f>
        <v>0.2608203334805736</v>
      </c>
      <c r="G6" s="320">
        <f>EEFF!BP77/EEFF!BP63</f>
        <v>0.26925053421371936</v>
      </c>
    </row>
    <row r="7" spans="2:7" x14ac:dyDescent="0.25">
      <c r="B7" s="329" t="s">
        <v>335</v>
      </c>
      <c r="C7" s="332">
        <f>EEFF!P89/EEFF!P63</f>
        <v>6.3873598090277775E-2</v>
      </c>
      <c r="D7" s="332">
        <f>EEFF!AC89/EEFF!AC63</f>
        <v>0.14196282802483975</v>
      </c>
      <c r="E7" s="332">
        <f>EEFF!AP89/EEFF!AP63</f>
        <v>0.16169586944078476</v>
      </c>
      <c r="F7" s="318">
        <f>EEFF!BC89/EEFF!BC63</f>
        <v>0.17471406188842836</v>
      </c>
      <c r="G7" s="320">
        <f>EEFF!BP89/EEFF!BP63</f>
        <v>0.18039785751322868</v>
      </c>
    </row>
    <row r="8" spans="2:7" x14ac:dyDescent="0.25">
      <c r="B8" s="329" t="s">
        <v>336</v>
      </c>
      <c r="C8" s="332">
        <f>EEFF!P89/EEFF!P23</f>
        <v>8.4111515142758372E-2</v>
      </c>
      <c r="D8" s="332">
        <f>EEFF!AC89/EEFF!AC23</f>
        <v>0.2456950982520697</v>
      </c>
      <c r="E8" s="332">
        <f>EEFF!AP89/EEFF!AP23</f>
        <v>0.343923367717342</v>
      </c>
      <c r="F8" s="318">
        <f>EEFF!BC89/EEFF!BC23</f>
        <v>0.28174524202144763</v>
      </c>
      <c r="G8" s="320">
        <f>EEFF!BP89/EEFF!BP23</f>
        <v>0.23382739230333249</v>
      </c>
    </row>
    <row r="9" spans="2:7" x14ac:dyDescent="0.25">
      <c r="B9" s="329" t="s">
        <v>337</v>
      </c>
      <c r="C9" s="332">
        <f>EEFF!P89/EEFF!P50</f>
        <v>0.24643913605285186</v>
      </c>
      <c r="D9" s="332">
        <f>EEFF!AC89/EEFF!AC50</f>
        <v>0.48701923169433697</v>
      </c>
      <c r="E9" s="332">
        <f>EEFF!AP89/EEFF!AP50</f>
        <v>0.40908301798138003</v>
      </c>
      <c r="F9" s="318">
        <f>EEFF!BC89/EEFF!BC50</f>
        <v>0.314927050468434</v>
      </c>
      <c r="G9" s="320">
        <f>EEFF!BP89/EEFF!BP50</f>
        <v>0.25271678547070831</v>
      </c>
    </row>
    <row r="10" spans="2:7" x14ac:dyDescent="0.25">
      <c r="B10" s="329" t="s">
        <v>338</v>
      </c>
      <c r="C10" s="332">
        <f>'FLUJO CAJA LIBRE'!E10/EEFF!P63</f>
        <v>0.24910883680555557</v>
      </c>
      <c r="D10" s="332">
        <f>'FLUJO CAJA LIBRE'!F10/EEFF!AC63</f>
        <v>0.34552435021033656</v>
      </c>
      <c r="E10" s="332">
        <f>'FLUJO CAJA LIBRE'!G10/EEFF!AP63</f>
        <v>0.34460047193297738</v>
      </c>
      <c r="F10" s="318">
        <f>'FLUJO CAJA LIBRE'!H10/EEFF!BC63</f>
        <v>0.3491798984150532</v>
      </c>
      <c r="G10" s="320">
        <f>'FLUJO CAJA LIBRE'!I10/EEFF!BP63</f>
        <v>0.35421125490620337</v>
      </c>
    </row>
    <row r="11" spans="2:7" x14ac:dyDescent="0.25">
      <c r="B11" s="329" t="s">
        <v>339</v>
      </c>
      <c r="C11" s="333" t="s">
        <v>340</v>
      </c>
      <c r="D11" s="332">
        <f>(EEFF!AC63-EEFF!P63)/EEFF!P63</f>
        <v>0.73333333333333328</v>
      </c>
      <c r="E11" s="332">
        <f>(EEFF!AP63-EEFF!AC63)/EEFF!AC63</f>
        <v>0.248</v>
      </c>
      <c r="F11" s="318">
        <f>(EEFF!BC63-EEFF!AP63)/EEFF!AP63</f>
        <v>3.9998613165680472E-2</v>
      </c>
      <c r="G11" s="320">
        <f>(EEFF!BP63-EEFF!BC63)/EEFF!BC63</f>
        <v>4.0004889486492792E-2</v>
      </c>
    </row>
    <row r="12" spans="2:7" ht="15.75" thickBot="1" x14ac:dyDescent="0.3">
      <c r="B12" s="334" t="s">
        <v>341</v>
      </c>
      <c r="C12" s="335" t="s">
        <v>340</v>
      </c>
      <c r="D12" s="336">
        <f>(EEFF!AC75-EEFF!P75)/EEFF!P75</f>
        <v>0.52521989445773332</v>
      </c>
      <c r="E12" s="336">
        <f>(EEFF!AP75-EEFF!AC75)/EEFF!AC75</f>
        <v>0.24246337023142495</v>
      </c>
      <c r="F12" s="321">
        <f>(EEFF!BC75-EEFF!AP75)/EEFF!AP75</f>
        <v>2.7327757974210127E-2</v>
      </c>
      <c r="G12" s="322">
        <f>(EEFF!BP75-EEFF!BC75)/EEFF!BC75</f>
        <v>2.8143835430301706E-2</v>
      </c>
    </row>
  </sheetData>
  <mergeCells count="1"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zoomScale="120" zoomScaleNormal="120" workbookViewId="0">
      <selection activeCell="D13" sqref="D13"/>
    </sheetView>
  </sheetViews>
  <sheetFormatPr baseColWidth="10" defaultRowHeight="15" x14ac:dyDescent="0.25"/>
  <cols>
    <col min="3" max="3" width="17.28515625" bestFit="1" customWidth="1"/>
    <col min="4" max="4" width="23.28515625" bestFit="1" customWidth="1"/>
    <col min="5" max="5" width="24.5703125" customWidth="1"/>
    <col min="6" max="6" width="17.7109375" customWidth="1"/>
    <col min="7" max="7" width="19.140625" bestFit="1" customWidth="1"/>
  </cols>
  <sheetData>
    <row r="1" spans="2:7" ht="15.75" thickBot="1" x14ac:dyDescent="0.3"/>
    <row r="2" spans="2:7" ht="16.5" thickBot="1" x14ac:dyDescent="0.3">
      <c r="B2" s="362" t="s">
        <v>348</v>
      </c>
      <c r="C2" s="363"/>
      <c r="D2" s="363"/>
      <c r="E2" s="363"/>
      <c r="F2" s="363"/>
      <c r="G2" s="364"/>
    </row>
    <row r="3" spans="2:7" ht="15.75" thickBot="1" x14ac:dyDescent="0.3">
      <c r="B3" s="346"/>
      <c r="C3" s="347" t="s">
        <v>347</v>
      </c>
      <c r="D3" s="348" t="s">
        <v>345</v>
      </c>
      <c r="E3" s="348" t="s">
        <v>346</v>
      </c>
      <c r="F3" s="348" t="s">
        <v>53</v>
      </c>
      <c r="G3" s="349" t="s">
        <v>344</v>
      </c>
    </row>
    <row r="4" spans="2:7" x14ac:dyDescent="0.25">
      <c r="B4" s="340" t="s">
        <v>89</v>
      </c>
      <c r="C4" s="164">
        <v>75000000</v>
      </c>
      <c r="D4" s="341">
        <v>20000000</v>
      </c>
      <c r="E4" s="122">
        <v>0</v>
      </c>
      <c r="F4" s="342">
        <f>0.3*(D4-E4)</f>
        <v>6000000</v>
      </c>
      <c r="G4" s="343">
        <f>D4-F4</f>
        <v>14000000</v>
      </c>
    </row>
    <row r="5" spans="2:7" x14ac:dyDescent="0.25">
      <c r="B5" s="54" t="s">
        <v>90</v>
      </c>
      <c r="C5" s="74">
        <v>75000000</v>
      </c>
      <c r="D5" s="316">
        <v>20000000</v>
      </c>
      <c r="E5" s="58">
        <v>0</v>
      </c>
      <c r="F5" s="317">
        <f t="shared" ref="F5:F9" si="0">0.3*(D5-E5)</f>
        <v>6000000</v>
      </c>
      <c r="G5" s="319">
        <f t="shared" ref="G5:G10" si="1">D5-F5</f>
        <v>14000000</v>
      </c>
    </row>
    <row r="6" spans="2:7" x14ac:dyDescent="0.25">
      <c r="B6" s="54" t="s">
        <v>91</v>
      </c>
      <c r="C6" s="74">
        <v>75000000</v>
      </c>
      <c r="D6" s="316">
        <v>21000000</v>
      </c>
      <c r="E6" s="75">
        <f>C6-(C6*54/60)</f>
        <v>7500000</v>
      </c>
      <c r="F6" s="317">
        <f t="shared" si="0"/>
        <v>4050000</v>
      </c>
      <c r="G6" s="319">
        <f t="shared" si="1"/>
        <v>16950000</v>
      </c>
    </row>
    <row r="7" spans="2:7" x14ac:dyDescent="0.25">
      <c r="B7" s="54" t="s">
        <v>92</v>
      </c>
      <c r="C7" s="74">
        <v>75000000</v>
      </c>
      <c r="D7" s="316">
        <v>21000000</v>
      </c>
      <c r="E7" s="75">
        <f>C7-(C7*54/60)</f>
        <v>7500000</v>
      </c>
      <c r="F7" s="317">
        <f t="shared" si="0"/>
        <v>4050000</v>
      </c>
      <c r="G7" s="319">
        <f t="shared" si="1"/>
        <v>16950000</v>
      </c>
    </row>
    <row r="8" spans="2:7" x14ac:dyDescent="0.25">
      <c r="B8" s="54" t="s">
        <v>342</v>
      </c>
      <c r="C8" s="74">
        <v>75000000</v>
      </c>
      <c r="D8" s="316">
        <v>22000000</v>
      </c>
      <c r="E8" s="75">
        <f>C8-(C8*42/60)</f>
        <v>22500000</v>
      </c>
      <c r="F8" s="317">
        <f t="shared" si="0"/>
        <v>-150000</v>
      </c>
      <c r="G8" s="319">
        <v>22000000</v>
      </c>
    </row>
    <row r="9" spans="2:7" x14ac:dyDescent="0.25">
      <c r="B9" s="54" t="s">
        <v>343</v>
      </c>
      <c r="C9" s="74">
        <v>75000000</v>
      </c>
      <c r="D9" s="316">
        <v>22000000</v>
      </c>
      <c r="E9" s="75">
        <f>C9-(C9*42/60)</f>
        <v>22500000</v>
      </c>
      <c r="F9" s="317">
        <f t="shared" si="0"/>
        <v>-150000</v>
      </c>
      <c r="G9" s="319">
        <v>22000000</v>
      </c>
    </row>
    <row r="10" spans="2:7" ht="15.75" thickBot="1" x14ac:dyDescent="0.3">
      <c r="B10" s="345" t="s">
        <v>51</v>
      </c>
      <c r="C10" s="337">
        <f>SUM(C4:C9)</f>
        <v>450000000</v>
      </c>
      <c r="D10" s="338">
        <f>SUM(D4:D9)</f>
        <v>126000000</v>
      </c>
      <c r="E10" s="337">
        <f>SUM(E4:E9)</f>
        <v>60000000</v>
      </c>
      <c r="F10" s="339">
        <f>SUM(F4:F7)</f>
        <v>20100000</v>
      </c>
      <c r="G10" s="344">
        <f t="shared" si="1"/>
        <v>105900000</v>
      </c>
    </row>
  </sheetData>
  <mergeCells count="1"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zoomScale="120" zoomScaleNormal="120" workbookViewId="0">
      <selection activeCell="F16" sqref="F16"/>
    </sheetView>
  </sheetViews>
  <sheetFormatPr baseColWidth="10" defaultRowHeight="15" x14ac:dyDescent="0.25"/>
  <cols>
    <col min="2" max="2" width="13.140625" customWidth="1"/>
    <col min="3" max="3" width="18" customWidth="1"/>
    <col min="5" max="5" width="28.85546875" customWidth="1"/>
  </cols>
  <sheetData>
    <row r="1" spans="2:5" ht="15.75" thickBot="1" x14ac:dyDescent="0.3"/>
    <row r="2" spans="2:5" ht="16.5" thickBot="1" x14ac:dyDescent="0.3">
      <c r="B2" s="359" t="s">
        <v>327</v>
      </c>
      <c r="C2" s="360"/>
      <c r="D2" s="361"/>
    </row>
    <row r="3" spans="2:5" x14ac:dyDescent="0.25">
      <c r="B3" s="340" t="s">
        <v>350</v>
      </c>
      <c r="C3" s="352">
        <v>120000000</v>
      </c>
      <c r="D3" s="353"/>
    </row>
    <row r="4" spans="2:5" x14ac:dyDescent="0.25">
      <c r="B4" s="54" t="s">
        <v>353</v>
      </c>
      <c r="C4" s="350">
        <v>0.15390000000000001</v>
      </c>
      <c r="D4" s="63" t="s">
        <v>349</v>
      </c>
    </row>
    <row r="5" spans="2:5" x14ac:dyDescent="0.25">
      <c r="B5" s="54" t="s">
        <v>354</v>
      </c>
      <c r="C5" s="323">
        <f>C3/(C3+C6)</f>
        <v>0.5714285714285714</v>
      </c>
      <c r="D5" s="63"/>
    </row>
    <row r="6" spans="2:5" x14ac:dyDescent="0.25">
      <c r="B6" s="54" t="s">
        <v>351</v>
      </c>
      <c r="C6" s="60">
        <v>90000000</v>
      </c>
      <c r="D6" s="63"/>
    </row>
    <row r="7" spans="2:5" x14ac:dyDescent="0.25">
      <c r="B7" s="54" t="s">
        <v>352</v>
      </c>
      <c r="C7" s="351">
        <v>0.18</v>
      </c>
      <c r="D7" s="63" t="s">
        <v>349</v>
      </c>
      <c r="E7" t="s">
        <v>356</v>
      </c>
    </row>
    <row r="8" spans="2:5" x14ac:dyDescent="0.25">
      <c r="B8" s="54" t="s">
        <v>355</v>
      </c>
      <c r="C8" s="323">
        <f>C6/(C6+C3)</f>
        <v>0.42857142857142855</v>
      </c>
      <c r="D8" s="63"/>
    </row>
    <row r="9" spans="2:5" ht="16.5" thickBot="1" x14ac:dyDescent="0.3">
      <c r="B9" s="354" t="s">
        <v>327</v>
      </c>
      <c r="C9" s="365">
        <f>+C4*C5+C7*C8</f>
        <v>0.16508571428571428</v>
      </c>
      <c r="D9" s="366"/>
    </row>
  </sheetData>
  <mergeCells count="2">
    <mergeCell ref="B2:D2"/>
    <mergeCell ref="C9:D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42"/>
  <sheetViews>
    <sheetView topLeftCell="E1" zoomScaleNormal="100" workbookViewId="0">
      <pane xSplit="2" ySplit="4" topLeftCell="S5" activePane="bottomRight" state="frozen"/>
      <selection activeCell="E1" sqref="E1"/>
      <selection pane="topRight" activeCell="I1" sqref="I1"/>
      <selection pane="bottomLeft" activeCell="E4" sqref="E4"/>
      <selection pane="bottomRight" activeCell="F4" sqref="F4:BS13"/>
    </sheetView>
  </sheetViews>
  <sheetFormatPr baseColWidth="10" defaultColWidth="9.140625" defaultRowHeight="15" outlineLevelCol="1" x14ac:dyDescent="0.25"/>
  <cols>
    <col min="1" max="1" width="33.7109375" customWidth="1"/>
    <col min="2" max="2" width="11.7109375" customWidth="1"/>
    <col min="6" max="6" width="20.28515625" customWidth="1"/>
    <col min="7" max="7" width="13.28515625" style="41" hidden="1" customWidth="1" outlineLevel="1"/>
    <col min="8" max="8" width="12.7109375" style="41" hidden="1" customWidth="1" outlineLevel="1"/>
    <col min="9" max="9" width="15.28515625" style="41" hidden="1" customWidth="1" outlineLevel="1"/>
    <col min="10" max="10" width="13.7109375" style="41" hidden="1" customWidth="1" outlineLevel="1"/>
    <col min="11" max="11" width="14.140625" style="41" hidden="1" customWidth="1" outlineLevel="1"/>
    <col min="12" max="18" width="12.7109375" style="41" hidden="1" customWidth="1" outlineLevel="1"/>
    <col min="19" max="19" width="13.85546875" style="41" bestFit="1" customWidth="1" collapsed="1"/>
    <col min="20" max="31" width="12.7109375" hidden="1" customWidth="1" outlineLevel="1"/>
    <col min="32" max="32" width="13.85546875" bestFit="1" customWidth="1" collapsed="1"/>
    <col min="33" max="44" width="12.7109375" hidden="1" customWidth="1" outlineLevel="1"/>
    <col min="45" max="45" width="13.85546875" bestFit="1" customWidth="1" collapsed="1"/>
    <col min="46" max="57" width="12.7109375" hidden="1" customWidth="1" outlineLevel="1"/>
    <col min="58" max="58" width="15.5703125" bestFit="1" customWidth="1" collapsed="1"/>
    <col min="59" max="70" width="12.7109375" hidden="1" customWidth="1" outlineLevel="1"/>
    <col min="71" max="71" width="15.5703125" bestFit="1" customWidth="1" collapsed="1"/>
  </cols>
  <sheetData>
    <row r="2" spans="1:71" ht="26.25" x14ac:dyDescent="0.4">
      <c r="F2" s="357" t="s">
        <v>86</v>
      </c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</row>
    <row r="3" spans="1:71" ht="15.75" thickBot="1" x14ac:dyDescent="0.3">
      <c r="F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</row>
    <row r="4" spans="1:71" ht="15.75" thickBot="1" x14ac:dyDescent="0.3">
      <c r="A4" s="1" t="s">
        <v>0</v>
      </c>
      <c r="B4" s="2" t="s">
        <v>1</v>
      </c>
      <c r="C4" s="2" t="s">
        <v>2</v>
      </c>
      <c r="D4" s="2" t="s">
        <v>3</v>
      </c>
      <c r="F4" s="96" t="s">
        <v>65</v>
      </c>
      <c r="G4" s="68">
        <v>1</v>
      </c>
      <c r="H4" s="68">
        <f t="shared" ref="H4:R4" si="0">+G4+1</f>
        <v>2</v>
      </c>
      <c r="I4" s="68">
        <f t="shared" si="0"/>
        <v>3</v>
      </c>
      <c r="J4" s="68">
        <f t="shared" si="0"/>
        <v>4</v>
      </c>
      <c r="K4" s="68">
        <f t="shared" si="0"/>
        <v>5</v>
      </c>
      <c r="L4" s="68">
        <f t="shared" si="0"/>
        <v>6</v>
      </c>
      <c r="M4" s="68">
        <f t="shared" si="0"/>
        <v>7</v>
      </c>
      <c r="N4" s="68">
        <f t="shared" si="0"/>
        <v>8</v>
      </c>
      <c r="O4" s="68">
        <f t="shared" si="0"/>
        <v>9</v>
      </c>
      <c r="P4" s="68">
        <f t="shared" si="0"/>
        <v>10</v>
      </c>
      <c r="Q4" s="68">
        <f t="shared" si="0"/>
        <v>11</v>
      </c>
      <c r="R4" s="68">
        <f t="shared" si="0"/>
        <v>12</v>
      </c>
      <c r="S4" s="68" t="s">
        <v>97</v>
      </c>
      <c r="T4" s="68">
        <f>+R4+1</f>
        <v>13</v>
      </c>
      <c r="U4" s="68">
        <f t="shared" ref="U4:AE4" si="1">+T4+1</f>
        <v>14</v>
      </c>
      <c r="V4" s="68">
        <f t="shared" si="1"/>
        <v>15</v>
      </c>
      <c r="W4" s="68">
        <f t="shared" si="1"/>
        <v>16</v>
      </c>
      <c r="X4" s="68">
        <f t="shared" si="1"/>
        <v>17</v>
      </c>
      <c r="Y4" s="68">
        <f t="shared" si="1"/>
        <v>18</v>
      </c>
      <c r="Z4" s="68">
        <f t="shared" si="1"/>
        <v>19</v>
      </c>
      <c r="AA4" s="68">
        <f t="shared" si="1"/>
        <v>20</v>
      </c>
      <c r="AB4" s="68">
        <f t="shared" si="1"/>
        <v>21</v>
      </c>
      <c r="AC4" s="68">
        <f t="shared" si="1"/>
        <v>22</v>
      </c>
      <c r="AD4" s="68">
        <f t="shared" si="1"/>
        <v>23</v>
      </c>
      <c r="AE4" s="68">
        <f t="shared" si="1"/>
        <v>24</v>
      </c>
      <c r="AF4" s="68" t="s">
        <v>98</v>
      </c>
      <c r="AG4" s="68">
        <f>+AE4+1</f>
        <v>25</v>
      </c>
      <c r="AH4" s="68">
        <f t="shared" ref="AH4:AR4" si="2">+AG4+1</f>
        <v>26</v>
      </c>
      <c r="AI4" s="68">
        <f t="shared" si="2"/>
        <v>27</v>
      </c>
      <c r="AJ4" s="68">
        <f t="shared" si="2"/>
        <v>28</v>
      </c>
      <c r="AK4" s="68">
        <f t="shared" si="2"/>
        <v>29</v>
      </c>
      <c r="AL4" s="68">
        <f t="shared" si="2"/>
        <v>30</v>
      </c>
      <c r="AM4" s="68">
        <f t="shared" si="2"/>
        <v>31</v>
      </c>
      <c r="AN4" s="68">
        <f t="shared" si="2"/>
        <v>32</v>
      </c>
      <c r="AO4" s="68">
        <f t="shared" si="2"/>
        <v>33</v>
      </c>
      <c r="AP4" s="68">
        <f t="shared" si="2"/>
        <v>34</v>
      </c>
      <c r="AQ4" s="68">
        <f t="shared" si="2"/>
        <v>35</v>
      </c>
      <c r="AR4" s="68">
        <f t="shared" si="2"/>
        <v>36</v>
      </c>
      <c r="AS4" s="68" t="s">
        <v>99</v>
      </c>
      <c r="AT4" s="261">
        <f>+AR4+1</f>
        <v>37</v>
      </c>
      <c r="AU4" s="68">
        <f t="shared" ref="AU4:BE4" si="3">+AT4+1</f>
        <v>38</v>
      </c>
      <c r="AV4" s="68">
        <f t="shared" si="3"/>
        <v>39</v>
      </c>
      <c r="AW4" s="68">
        <f t="shared" si="3"/>
        <v>40</v>
      </c>
      <c r="AX4" s="68">
        <f t="shared" si="3"/>
        <v>41</v>
      </c>
      <c r="AY4" s="68">
        <f t="shared" si="3"/>
        <v>42</v>
      </c>
      <c r="AZ4" s="68">
        <f t="shared" si="3"/>
        <v>43</v>
      </c>
      <c r="BA4" s="68">
        <f t="shared" si="3"/>
        <v>44</v>
      </c>
      <c r="BB4" s="68">
        <f t="shared" si="3"/>
        <v>45</v>
      </c>
      <c r="BC4" s="68">
        <f t="shared" si="3"/>
        <v>46</v>
      </c>
      <c r="BD4" s="68">
        <f t="shared" si="3"/>
        <v>47</v>
      </c>
      <c r="BE4" s="68">
        <f t="shared" si="3"/>
        <v>48</v>
      </c>
      <c r="BF4" s="270" t="s">
        <v>294</v>
      </c>
      <c r="BG4" s="261">
        <f>+BE4+1</f>
        <v>49</v>
      </c>
      <c r="BH4" s="68">
        <f t="shared" ref="BH4:BR4" si="4">+BG4+1</f>
        <v>50</v>
      </c>
      <c r="BI4" s="68">
        <f t="shared" si="4"/>
        <v>51</v>
      </c>
      <c r="BJ4" s="68">
        <f t="shared" si="4"/>
        <v>52</v>
      </c>
      <c r="BK4" s="68">
        <f t="shared" si="4"/>
        <v>53</v>
      </c>
      <c r="BL4" s="68">
        <f t="shared" si="4"/>
        <v>54</v>
      </c>
      <c r="BM4" s="68">
        <f t="shared" si="4"/>
        <v>55</v>
      </c>
      <c r="BN4" s="68">
        <f t="shared" si="4"/>
        <v>56</v>
      </c>
      <c r="BO4" s="68">
        <f t="shared" si="4"/>
        <v>57</v>
      </c>
      <c r="BP4" s="68">
        <f t="shared" si="4"/>
        <v>58</v>
      </c>
      <c r="BQ4" s="68">
        <f t="shared" si="4"/>
        <v>59</v>
      </c>
      <c r="BR4" s="68">
        <f t="shared" si="4"/>
        <v>60</v>
      </c>
      <c r="BS4" s="231" t="s">
        <v>295</v>
      </c>
    </row>
    <row r="5" spans="1:71" ht="15.75" hidden="1" thickBot="1" x14ac:dyDescent="0.3">
      <c r="A5" s="3" t="s">
        <v>4</v>
      </c>
      <c r="B5" s="4">
        <v>30</v>
      </c>
      <c r="C5" s="4">
        <v>30</v>
      </c>
      <c r="D5" s="4">
        <v>30</v>
      </c>
      <c r="F5" s="54" t="s">
        <v>88</v>
      </c>
      <c r="G5" s="55">
        <v>2</v>
      </c>
      <c r="H5" s="55">
        <f t="shared" ref="H5:L6" si="5">+G5</f>
        <v>2</v>
      </c>
      <c r="I5" s="55">
        <f t="shared" si="5"/>
        <v>2</v>
      </c>
      <c r="J5" s="55">
        <f t="shared" si="5"/>
        <v>2</v>
      </c>
      <c r="K5" s="55">
        <f t="shared" si="5"/>
        <v>2</v>
      </c>
      <c r="L5" s="55">
        <f t="shared" si="5"/>
        <v>2</v>
      </c>
      <c r="M5" s="55">
        <v>4</v>
      </c>
      <c r="N5" s="55">
        <f>+M5</f>
        <v>4</v>
      </c>
      <c r="O5" s="55">
        <f t="shared" ref="O5:Y5" si="6">+N5</f>
        <v>4</v>
      </c>
      <c r="P5" s="55">
        <f t="shared" si="6"/>
        <v>4</v>
      </c>
      <c r="Q5" s="55">
        <f t="shared" si="6"/>
        <v>4</v>
      </c>
      <c r="R5" s="55">
        <f t="shared" si="6"/>
        <v>4</v>
      </c>
      <c r="S5" s="55">
        <v>4</v>
      </c>
      <c r="T5" s="55">
        <f>+R5</f>
        <v>4</v>
      </c>
      <c r="U5" s="55">
        <f t="shared" si="6"/>
        <v>4</v>
      </c>
      <c r="V5" s="55">
        <f t="shared" si="6"/>
        <v>4</v>
      </c>
      <c r="W5" s="55">
        <f t="shared" si="6"/>
        <v>4</v>
      </c>
      <c r="X5" s="55">
        <f t="shared" si="6"/>
        <v>4</v>
      </c>
      <c r="Y5" s="55">
        <f t="shared" si="6"/>
        <v>4</v>
      </c>
      <c r="Z5" s="55">
        <v>6</v>
      </c>
      <c r="AA5" s="55">
        <f>+Z5</f>
        <v>6</v>
      </c>
      <c r="AB5" s="55">
        <f t="shared" ref="AB5:AR5" si="7">+AA5</f>
        <v>6</v>
      </c>
      <c r="AC5" s="55">
        <f t="shared" si="7"/>
        <v>6</v>
      </c>
      <c r="AD5" s="55">
        <f t="shared" si="7"/>
        <v>6</v>
      </c>
      <c r="AE5" s="55">
        <f t="shared" si="7"/>
        <v>6</v>
      </c>
      <c r="AF5" s="55">
        <v>4</v>
      </c>
      <c r="AG5" s="55">
        <f>+AE5</f>
        <v>6</v>
      </c>
      <c r="AH5" s="55">
        <f t="shared" si="7"/>
        <v>6</v>
      </c>
      <c r="AI5" s="55">
        <f t="shared" si="7"/>
        <v>6</v>
      </c>
      <c r="AJ5" s="55">
        <f t="shared" si="7"/>
        <v>6</v>
      </c>
      <c r="AK5" s="55">
        <f t="shared" si="7"/>
        <v>6</v>
      </c>
      <c r="AL5" s="55">
        <f t="shared" si="7"/>
        <v>6</v>
      </c>
      <c r="AM5" s="55">
        <f t="shared" si="7"/>
        <v>6</v>
      </c>
      <c r="AN5" s="55">
        <f t="shared" si="7"/>
        <v>6</v>
      </c>
      <c r="AO5" s="55">
        <f t="shared" si="7"/>
        <v>6</v>
      </c>
      <c r="AP5" s="55">
        <f t="shared" si="7"/>
        <v>6</v>
      </c>
      <c r="AQ5" s="55">
        <f t="shared" si="7"/>
        <v>6</v>
      </c>
      <c r="AR5" s="55">
        <f t="shared" si="7"/>
        <v>6</v>
      </c>
      <c r="AS5" s="55">
        <v>4</v>
      </c>
      <c r="AT5" s="262">
        <f>+AR5</f>
        <v>6</v>
      </c>
      <c r="AU5" s="55">
        <f t="shared" ref="AU5:BE5" si="8">+AT5</f>
        <v>6</v>
      </c>
      <c r="AV5" s="55">
        <f t="shared" si="8"/>
        <v>6</v>
      </c>
      <c r="AW5" s="55">
        <f t="shared" si="8"/>
        <v>6</v>
      </c>
      <c r="AX5" s="55">
        <f t="shared" si="8"/>
        <v>6</v>
      </c>
      <c r="AY5" s="55">
        <f t="shared" si="8"/>
        <v>6</v>
      </c>
      <c r="AZ5" s="55">
        <f t="shared" si="8"/>
        <v>6</v>
      </c>
      <c r="BA5" s="55">
        <f t="shared" si="8"/>
        <v>6</v>
      </c>
      <c r="BB5" s="55">
        <f t="shared" si="8"/>
        <v>6</v>
      </c>
      <c r="BC5" s="55">
        <f t="shared" si="8"/>
        <v>6</v>
      </c>
      <c r="BD5" s="55">
        <f t="shared" si="8"/>
        <v>6</v>
      </c>
      <c r="BE5" s="55">
        <f t="shared" si="8"/>
        <v>6</v>
      </c>
      <c r="BF5" s="55">
        <v>4</v>
      </c>
      <c r="BG5" s="262">
        <f>+BE5</f>
        <v>6</v>
      </c>
      <c r="BH5" s="55">
        <f t="shared" ref="BH5:BR5" si="9">+BG5</f>
        <v>6</v>
      </c>
      <c r="BI5" s="55">
        <f t="shared" si="9"/>
        <v>6</v>
      </c>
      <c r="BJ5" s="55">
        <f t="shared" si="9"/>
        <v>6</v>
      </c>
      <c r="BK5" s="55">
        <f t="shared" si="9"/>
        <v>6</v>
      </c>
      <c r="BL5" s="55">
        <f t="shared" si="9"/>
        <v>6</v>
      </c>
      <c r="BM5" s="55">
        <f t="shared" si="9"/>
        <v>6</v>
      </c>
      <c r="BN5" s="55">
        <f t="shared" si="9"/>
        <v>6</v>
      </c>
      <c r="BO5" s="55">
        <f t="shared" si="9"/>
        <v>6</v>
      </c>
      <c r="BP5" s="55">
        <f t="shared" si="9"/>
        <v>6</v>
      </c>
      <c r="BQ5" s="55">
        <f t="shared" si="9"/>
        <v>6</v>
      </c>
      <c r="BR5" s="55">
        <f t="shared" si="9"/>
        <v>6</v>
      </c>
      <c r="BS5" s="56">
        <v>4</v>
      </c>
    </row>
    <row r="6" spans="1:71" ht="15.75" hidden="1" thickBot="1" x14ac:dyDescent="0.3">
      <c r="A6" s="3"/>
      <c r="B6" s="4"/>
      <c r="C6" s="4"/>
      <c r="D6" s="4"/>
      <c r="F6" s="54" t="s">
        <v>89</v>
      </c>
      <c r="G6" s="55">
        <v>16</v>
      </c>
      <c r="H6" s="55">
        <f t="shared" si="5"/>
        <v>16</v>
      </c>
      <c r="I6" s="55">
        <f t="shared" si="5"/>
        <v>16</v>
      </c>
      <c r="J6" s="55">
        <f t="shared" si="5"/>
        <v>16</v>
      </c>
      <c r="K6" s="55">
        <f t="shared" si="5"/>
        <v>16</v>
      </c>
      <c r="L6" s="55">
        <f t="shared" si="5"/>
        <v>16</v>
      </c>
      <c r="M6" s="55">
        <v>16</v>
      </c>
      <c r="N6" s="55">
        <f>+M6</f>
        <v>16</v>
      </c>
      <c r="O6" s="55">
        <f>+N6</f>
        <v>16</v>
      </c>
      <c r="P6" s="55">
        <f>+O6</f>
        <v>16</v>
      </c>
      <c r="Q6" s="55">
        <f>+P6</f>
        <v>16</v>
      </c>
      <c r="R6" s="55">
        <f>+Q6</f>
        <v>16</v>
      </c>
      <c r="S6" s="55">
        <f>SUM(G6:R6)</f>
        <v>192</v>
      </c>
      <c r="T6" s="55">
        <v>16</v>
      </c>
      <c r="U6" s="55">
        <f t="shared" ref="U6:Z6" si="10">+T6</f>
        <v>16</v>
      </c>
      <c r="V6" s="55">
        <f t="shared" si="10"/>
        <v>16</v>
      </c>
      <c r="W6" s="55">
        <f t="shared" si="10"/>
        <v>16</v>
      </c>
      <c r="X6" s="55">
        <f t="shared" si="10"/>
        <v>16</v>
      </c>
      <c r="Y6" s="55">
        <f t="shared" si="10"/>
        <v>16</v>
      </c>
      <c r="Z6" s="55">
        <f t="shared" si="10"/>
        <v>16</v>
      </c>
      <c r="AA6" s="55">
        <f>+Z6</f>
        <v>16</v>
      </c>
      <c r="AB6" s="55">
        <f>+AA6</f>
        <v>16</v>
      </c>
      <c r="AC6" s="55">
        <f>+AB6</f>
        <v>16</v>
      </c>
      <c r="AD6" s="55">
        <f>+AC6</f>
        <v>16</v>
      </c>
      <c r="AE6" s="55">
        <f>+AD6</f>
        <v>16</v>
      </c>
      <c r="AF6" s="55">
        <f>SUM(T6:AE6)</f>
        <v>192</v>
      </c>
      <c r="AG6" s="55">
        <f>+AE6</f>
        <v>16</v>
      </c>
      <c r="AH6" s="55">
        <f t="shared" ref="AH6:AR6" si="11">+AG6</f>
        <v>16</v>
      </c>
      <c r="AI6" s="55">
        <f t="shared" si="11"/>
        <v>16</v>
      </c>
      <c r="AJ6" s="55">
        <f t="shared" si="11"/>
        <v>16</v>
      </c>
      <c r="AK6" s="55">
        <f t="shared" si="11"/>
        <v>16</v>
      </c>
      <c r="AL6" s="55">
        <f t="shared" si="11"/>
        <v>16</v>
      </c>
      <c r="AM6" s="55">
        <f t="shared" si="11"/>
        <v>16</v>
      </c>
      <c r="AN6" s="55">
        <f t="shared" si="11"/>
        <v>16</v>
      </c>
      <c r="AO6" s="55">
        <f t="shared" si="11"/>
        <v>16</v>
      </c>
      <c r="AP6" s="55">
        <f t="shared" si="11"/>
        <v>16</v>
      </c>
      <c r="AQ6" s="55">
        <f t="shared" si="11"/>
        <v>16</v>
      </c>
      <c r="AR6" s="55">
        <f t="shared" si="11"/>
        <v>16</v>
      </c>
      <c r="AS6" s="55">
        <f>SUM(AG6:AR6)</f>
        <v>192</v>
      </c>
      <c r="AT6" s="262">
        <f>+AR6</f>
        <v>16</v>
      </c>
      <c r="AU6" s="55">
        <f t="shared" ref="AU6:BE6" si="12">+AT6</f>
        <v>16</v>
      </c>
      <c r="AV6" s="55">
        <f t="shared" si="12"/>
        <v>16</v>
      </c>
      <c r="AW6" s="55">
        <f t="shared" si="12"/>
        <v>16</v>
      </c>
      <c r="AX6" s="55">
        <f t="shared" si="12"/>
        <v>16</v>
      </c>
      <c r="AY6" s="55">
        <f t="shared" si="12"/>
        <v>16</v>
      </c>
      <c r="AZ6" s="55">
        <f t="shared" si="12"/>
        <v>16</v>
      </c>
      <c r="BA6" s="55">
        <f t="shared" si="12"/>
        <v>16</v>
      </c>
      <c r="BB6" s="55">
        <f t="shared" si="12"/>
        <v>16</v>
      </c>
      <c r="BC6" s="55">
        <f t="shared" si="12"/>
        <v>16</v>
      </c>
      <c r="BD6" s="55">
        <f t="shared" si="12"/>
        <v>16</v>
      </c>
      <c r="BE6" s="55">
        <f t="shared" si="12"/>
        <v>16</v>
      </c>
      <c r="BF6" s="55">
        <f>SUM(AT6:BE6)</f>
        <v>192</v>
      </c>
      <c r="BG6" s="262">
        <f>+BE6</f>
        <v>16</v>
      </c>
      <c r="BH6" s="55">
        <f t="shared" ref="BH6:BR6" si="13">+BG6</f>
        <v>16</v>
      </c>
      <c r="BI6" s="55">
        <f t="shared" si="13"/>
        <v>16</v>
      </c>
      <c r="BJ6" s="55">
        <f t="shared" si="13"/>
        <v>16</v>
      </c>
      <c r="BK6" s="55">
        <f t="shared" si="13"/>
        <v>16</v>
      </c>
      <c r="BL6" s="55">
        <f t="shared" si="13"/>
        <v>16</v>
      </c>
      <c r="BM6" s="55">
        <f t="shared" si="13"/>
        <v>16</v>
      </c>
      <c r="BN6" s="55">
        <f t="shared" si="13"/>
        <v>16</v>
      </c>
      <c r="BO6" s="55">
        <f t="shared" si="13"/>
        <v>16</v>
      </c>
      <c r="BP6" s="55">
        <f t="shared" si="13"/>
        <v>16</v>
      </c>
      <c r="BQ6" s="55">
        <f t="shared" si="13"/>
        <v>16</v>
      </c>
      <c r="BR6" s="55">
        <f t="shared" si="13"/>
        <v>16</v>
      </c>
      <c r="BS6" s="56">
        <f>SUM(BG6:BR6)</f>
        <v>192</v>
      </c>
    </row>
    <row r="7" spans="1:71" ht="15.75" hidden="1" thickBot="1" x14ac:dyDescent="0.3">
      <c r="A7" s="3"/>
      <c r="B7" s="4"/>
      <c r="C7" s="4"/>
      <c r="D7" s="4"/>
      <c r="F7" s="54" t="s">
        <v>90</v>
      </c>
      <c r="G7" s="55">
        <v>0</v>
      </c>
      <c r="H7" s="55">
        <f>+G7</f>
        <v>0</v>
      </c>
      <c r="I7" s="55">
        <f>+H7</f>
        <v>0</v>
      </c>
      <c r="J7" s="55">
        <f>+I7</f>
        <v>0</v>
      </c>
      <c r="K7" s="55">
        <f>+J7</f>
        <v>0</v>
      </c>
      <c r="L7" s="55">
        <v>0</v>
      </c>
      <c r="M7" s="55">
        <v>16</v>
      </c>
      <c r="N7" s="55">
        <f>+M7</f>
        <v>16</v>
      </c>
      <c r="O7" s="55">
        <f t="shared" ref="O7:AR7" si="14">+N7</f>
        <v>16</v>
      </c>
      <c r="P7" s="55">
        <f t="shared" si="14"/>
        <v>16</v>
      </c>
      <c r="Q7" s="55">
        <f t="shared" si="14"/>
        <v>16</v>
      </c>
      <c r="R7" s="55">
        <f t="shared" si="14"/>
        <v>16</v>
      </c>
      <c r="S7" s="55">
        <f>SUM(G7:R7)</f>
        <v>96</v>
      </c>
      <c r="T7" s="55">
        <f>+R7</f>
        <v>16</v>
      </c>
      <c r="U7" s="55">
        <f>+T7</f>
        <v>16</v>
      </c>
      <c r="V7" s="55">
        <f t="shared" si="14"/>
        <v>16</v>
      </c>
      <c r="W7" s="55">
        <f t="shared" si="14"/>
        <v>16</v>
      </c>
      <c r="X7" s="55">
        <f t="shared" si="14"/>
        <v>16</v>
      </c>
      <c r="Y7" s="55">
        <f t="shared" si="14"/>
        <v>16</v>
      </c>
      <c r="Z7" s="55">
        <f t="shared" si="14"/>
        <v>16</v>
      </c>
      <c r="AA7" s="55">
        <f t="shared" si="14"/>
        <v>16</v>
      </c>
      <c r="AB7" s="55">
        <f t="shared" si="14"/>
        <v>16</v>
      </c>
      <c r="AC7" s="55">
        <f t="shared" si="14"/>
        <v>16</v>
      </c>
      <c r="AD7" s="55">
        <f t="shared" si="14"/>
        <v>16</v>
      </c>
      <c r="AE7" s="55">
        <f t="shared" si="14"/>
        <v>16</v>
      </c>
      <c r="AF7" s="55">
        <f>SUM(T7:AE7)</f>
        <v>192</v>
      </c>
      <c r="AG7" s="55">
        <f>+AE7</f>
        <v>16</v>
      </c>
      <c r="AH7" s="55">
        <f t="shared" si="14"/>
        <v>16</v>
      </c>
      <c r="AI7" s="55">
        <f t="shared" si="14"/>
        <v>16</v>
      </c>
      <c r="AJ7" s="55">
        <f t="shared" si="14"/>
        <v>16</v>
      </c>
      <c r="AK7" s="55">
        <f t="shared" si="14"/>
        <v>16</v>
      </c>
      <c r="AL7" s="55">
        <f t="shared" si="14"/>
        <v>16</v>
      </c>
      <c r="AM7" s="55">
        <f t="shared" si="14"/>
        <v>16</v>
      </c>
      <c r="AN7" s="55">
        <f t="shared" si="14"/>
        <v>16</v>
      </c>
      <c r="AO7" s="55">
        <f t="shared" si="14"/>
        <v>16</v>
      </c>
      <c r="AP7" s="55">
        <f t="shared" si="14"/>
        <v>16</v>
      </c>
      <c r="AQ7" s="55">
        <f t="shared" si="14"/>
        <v>16</v>
      </c>
      <c r="AR7" s="55">
        <f t="shared" si="14"/>
        <v>16</v>
      </c>
      <c r="AS7" s="55">
        <f>SUM(AG7:AR7)</f>
        <v>192</v>
      </c>
      <c r="AT7" s="262">
        <f>+AR7</f>
        <v>16</v>
      </c>
      <c r="AU7" s="55">
        <f t="shared" ref="AU7:BE7" si="15">+AT7</f>
        <v>16</v>
      </c>
      <c r="AV7" s="55">
        <f t="shared" si="15"/>
        <v>16</v>
      </c>
      <c r="AW7" s="55">
        <f t="shared" si="15"/>
        <v>16</v>
      </c>
      <c r="AX7" s="55">
        <f t="shared" si="15"/>
        <v>16</v>
      </c>
      <c r="AY7" s="55">
        <f t="shared" si="15"/>
        <v>16</v>
      </c>
      <c r="AZ7" s="55">
        <f t="shared" si="15"/>
        <v>16</v>
      </c>
      <c r="BA7" s="55">
        <f t="shared" si="15"/>
        <v>16</v>
      </c>
      <c r="BB7" s="55">
        <f t="shared" si="15"/>
        <v>16</v>
      </c>
      <c r="BC7" s="55">
        <f t="shared" si="15"/>
        <v>16</v>
      </c>
      <c r="BD7" s="55">
        <f t="shared" si="15"/>
        <v>16</v>
      </c>
      <c r="BE7" s="55">
        <f t="shared" si="15"/>
        <v>16</v>
      </c>
      <c r="BF7" s="55">
        <f>SUM(AT7:BE7)</f>
        <v>192</v>
      </c>
      <c r="BG7" s="262">
        <f>+BE7</f>
        <v>16</v>
      </c>
      <c r="BH7" s="55">
        <f t="shared" ref="BH7:BR7" si="16">+BG7</f>
        <v>16</v>
      </c>
      <c r="BI7" s="55">
        <f t="shared" si="16"/>
        <v>16</v>
      </c>
      <c r="BJ7" s="55">
        <f t="shared" si="16"/>
        <v>16</v>
      </c>
      <c r="BK7" s="55">
        <f t="shared" si="16"/>
        <v>16</v>
      </c>
      <c r="BL7" s="55">
        <f t="shared" si="16"/>
        <v>16</v>
      </c>
      <c r="BM7" s="55">
        <f t="shared" si="16"/>
        <v>16</v>
      </c>
      <c r="BN7" s="55">
        <f t="shared" si="16"/>
        <v>16</v>
      </c>
      <c r="BO7" s="55">
        <f t="shared" si="16"/>
        <v>16</v>
      </c>
      <c r="BP7" s="55">
        <f t="shared" si="16"/>
        <v>16</v>
      </c>
      <c r="BQ7" s="55">
        <f t="shared" si="16"/>
        <v>16</v>
      </c>
      <c r="BR7" s="55">
        <f t="shared" si="16"/>
        <v>16</v>
      </c>
      <c r="BS7" s="56">
        <f>SUM(BG7:BR7)</f>
        <v>192</v>
      </c>
    </row>
    <row r="8" spans="1:71" ht="15.75" hidden="1" thickBot="1" x14ac:dyDescent="0.3">
      <c r="A8" s="3"/>
      <c r="B8" s="4"/>
      <c r="C8" s="4"/>
      <c r="D8" s="4"/>
      <c r="F8" s="54" t="s">
        <v>91</v>
      </c>
      <c r="G8" s="55">
        <v>0</v>
      </c>
      <c r="H8" s="55">
        <f>+G8</f>
        <v>0</v>
      </c>
      <c r="I8" s="55">
        <f t="shared" ref="I8:AR8" si="17">+H8</f>
        <v>0</v>
      </c>
      <c r="J8" s="55">
        <f t="shared" si="17"/>
        <v>0</v>
      </c>
      <c r="K8" s="55">
        <f t="shared" si="17"/>
        <v>0</v>
      </c>
      <c r="L8" s="55">
        <f t="shared" si="17"/>
        <v>0</v>
      </c>
      <c r="M8" s="55">
        <f t="shared" si="17"/>
        <v>0</v>
      </c>
      <c r="N8" s="55">
        <f t="shared" si="17"/>
        <v>0</v>
      </c>
      <c r="O8" s="55">
        <f t="shared" si="17"/>
        <v>0</v>
      </c>
      <c r="P8" s="55">
        <f t="shared" si="17"/>
        <v>0</v>
      </c>
      <c r="Q8" s="55">
        <f t="shared" si="17"/>
        <v>0</v>
      </c>
      <c r="R8" s="55">
        <f t="shared" si="17"/>
        <v>0</v>
      </c>
      <c r="S8" s="55">
        <f>SUM(G8:R8)</f>
        <v>0</v>
      </c>
      <c r="T8" s="55">
        <f>+R8</f>
        <v>0</v>
      </c>
      <c r="U8" s="55">
        <f t="shared" si="17"/>
        <v>0</v>
      </c>
      <c r="V8" s="55">
        <f t="shared" si="17"/>
        <v>0</v>
      </c>
      <c r="W8" s="55">
        <f t="shared" si="17"/>
        <v>0</v>
      </c>
      <c r="X8" s="55">
        <f t="shared" si="17"/>
        <v>0</v>
      </c>
      <c r="Y8" s="55">
        <f t="shared" si="17"/>
        <v>0</v>
      </c>
      <c r="Z8" s="55">
        <v>16</v>
      </c>
      <c r="AA8" s="55">
        <f t="shared" si="17"/>
        <v>16</v>
      </c>
      <c r="AB8" s="55">
        <f t="shared" si="17"/>
        <v>16</v>
      </c>
      <c r="AC8" s="55">
        <f t="shared" si="17"/>
        <v>16</v>
      </c>
      <c r="AD8" s="55">
        <f t="shared" si="17"/>
        <v>16</v>
      </c>
      <c r="AE8" s="55">
        <f t="shared" si="17"/>
        <v>16</v>
      </c>
      <c r="AF8" s="55">
        <f>SUM(T8:AE8)</f>
        <v>96</v>
      </c>
      <c r="AG8" s="55">
        <f>+AE8</f>
        <v>16</v>
      </c>
      <c r="AH8" s="55">
        <f t="shared" si="17"/>
        <v>16</v>
      </c>
      <c r="AI8" s="55">
        <f t="shared" si="17"/>
        <v>16</v>
      </c>
      <c r="AJ8" s="55">
        <f t="shared" si="17"/>
        <v>16</v>
      </c>
      <c r="AK8" s="55">
        <f t="shared" si="17"/>
        <v>16</v>
      </c>
      <c r="AL8" s="55">
        <f t="shared" si="17"/>
        <v>16</v>
      </c>
      <c r="AM8" s="55">
        <f t="shared" si="17"/>
        <v>16</v>
      </c>
      <c r="AN8" s="55">
        <f t="shared" si="17"/>
        <v>16</v>
      </c>
      <c r="AO8" s="55">
        <f t="shared" si="17"/>
        <v>16</v>
      </c>
      <c r="AP8" s="55">
        <f t="shared" si="17"/>
        <v>16</v>
      </c>
      <c r="AQ8" s="55">
        <f t="shared" si="17"/>
        <v>16</v>
      </c>
      <c r="AR8" s="55">
        <f t="shared" si="17"/>
        <v>16</v>
      </c>
      <c r="AS8" s="55">
        <f>SUM(AG8:AR8)</f>
        <v>192</v>
      </c>
      <c r="AT8" s="262">
        <f>+AR8</f>
        <v>16</v>
      </c>
      <c r="AU8" s="55">
        <f t="shared" ref="AU8:BE8" si="18">+AT8</f>
        <v>16</v>
      </c>
      <c r="AV8" s="55">
        <f t="shared" si="18"/>
        <v>16</v>
      </c>
      <c r="AW8" s="55">
        <f t="shared" si="18"/>
        <v>16</v>
      </c>
      <c r="AX8" s="55">
        <f t="shared" si="18"/>
        <v>16</v>
      </c>
      <c r="AY8" s="55">
        <f t="shared" si="18"/>
        <v>16</v>
      </c>
      <c r="AZ8" s="55">
        <f t="shared" si="18"/>
        <v>16</v>
      </c>
      <c r="BA8" s="55">
        <f t="shared" si="18"/>
        <v>16</v>
      </c>
      <c r="BB8" s="55">
        <f t="shared" si="18"/>
        <v>16</v>
      </c>
      <c r="BC8" s="55">
        <f t="shared" si="18"/>
        <v>16</v>
      </c>
      <c r="BD8" s="55">
        <f t="shared" si="18"/>
        <v>16</v>
      </c>
      <c r="BE8" s="55">
        <f t="shared" si="18"/>
        <v>16</v>
      </c>
      <c r="BF8" s="55">
        <f>SUM(AT8:BE8)</f>
        <v>192</v>
      </c>
      <c r="BG8" s="262">
        <f>+BE8</f>
        <v>16</v>
      </c>
      <c r="BH8" s="55">
        <f t="shared" ref="BH8:BR8" si="19">+BG8</f>
        <v>16</v>
      </c>
      <c r="BI8" s="55">
        <f t="shared" si="19"/>
        <v>16</v>
      </c>
      <c r="BJ8" s="55">
        <f t="shared" si="19"/>
        <v>16</v>
      </c>
      <c r="BK8" s="55">
        <f t="shared" si="19"/>
        <v>16</v>
      </c>
      <c r="BL8" s="55">
        <f t="shared" si="19"/>
        <v>16</v>
      </c>
      <c r="BM8" s="55">
        <f t="shared" si="19"/>
        <v>16</v>
      </c>
      <c r="BN8" s="55">
        <f t="shared" si="19"/>
        <v>16</v>
      </c>
      <c r="BO8" s="55">
        <f t="shared" si="19"/>
        <v>16</v>
      </c>
      <c r="BP8" s="55">
        <f t="shared" si="19"/>
        <v>16</v>
      </c>
      <c r="BQ8" s="55">
        <f t="shared" si="19"/>
        <v>16</v>
      </c>
      <c r="BR8" s="55">
        <f t="shared" si="19"/>
        <v>16</v>
      </c>
      <c r="BS8" s="56">
        <f>SUM(BG8:BR8)</f>
        <v>192</v>
      </c>
    </row>
    <row r="9" spans="1:71" ht="15.75" hidden="1" thickBot="1" x14ac:dyDescent="0.3">
      <c r="A9" s="3"/>
      <c r="B9" s="4"/>
      <c r="C9" s="4"/>
      <c r="D9" s="4"/>
      <c r="F9" s="54" t="s">
        <v>92</v>
      </c>
      <c r="G9" s="55">
        <v>0</v>
      </c>
      <c r="H9" s="55">
        <f t="shared" ref="H9:AR9" si="20">+G9</f>
        <v>0</v>
      </c>
      <c r="I9" s="55">
        <f t="shared" si="20"/>
        <v>0</v>
      </c>
      <c r="J9" s="55">
        <f t="shared" si="20"/>
        <v>0</v>
      </c>
      <c r="K9" s="55">
        <f t="shared" si="20"/>
        <v>0</v>
      </c>
      <c r="L9" s="55">
        <f t="shared" si="20"/>
        <v>0</v>
      </c>
      <c r="M9" s="55">
        <f t="shared" si="20"/>
        <v>0</v>
      </c>
      <c r="N9" s="55">
        <f t="shared" si="20"/>
        <v>0</v>
      </c>
      <c r="O9" s="55">
        <f t="shared" si="20"/>
        <v>0</v>
      </c>
      <c r="P9" s="55">
        <f t="shared" si="20"/>
        <v>0</v>
      </c>
      <c r="Q9" s="55">
        <f t="shared" si="20"/>
        <v>0</v>
      </c>
      <c r="R9" s="55">
        <f t="shared" si="20"/>
        <v>0</v>
      </c>
      <c r="S9" s="55">
        <f>SUM(G9:R9)</f>
        <v>0</v>
      </c>
      <c r="T9" s="55">
        <f>+R9</f>
        <v>0</v>
      </c>
      <c r="U9" s="55">
        <f t="shared" si="20"/>
        <v>0</v>
      </c>
      <c r="V9" s="55">
        <f t="shared" si="20"/>
        <v>0</v>
      </c>
      <c r="W9" s="55">
        <f t="shared" si="20"/>
        <v>0</v>
      </c>
      <c r="X9" s="55">
        <f t="shared" si="20"/>
        <v>0</v>
      </c>
      <c r="Y9" s="55">
        <f t="shared" si="20"/>
        <v>0</v>
      </c>
      <c r="Z9" s="55">
        <v>0</v>
      </c>
      <c r="AA9" s="55">
        <f t="shared" si="20"/>
        <v>0</v>
      </c>
      <c r="AB9" s="55">
        <f t="shared" si="20"/>
        <v>0</v>
      </c>
      <c r="AC9" s="55">
        <f t="shared" si="20"/>
        <v>0</v>
      </c>
      <c r="AD9" s="55">
        <f t="shared" si="20"/>
        <v>0</v>
      </c>
      <c r="AE9" s="55">
        <f t="shared" si="20"/>
        <v>0</v>
      </c>
      <c r="AF9" s="55">
        <f>SUM(T9:AE9)</f>
        <v>0</v>
      </c>
      <c r="AG9" s="55">
        <f>+AE9</f>
        <v>0</v>
      </c>
      <c r="AH9" s="55">
        <f t="shared" si="20"/>
        <v>0</v>
      </c>
      <c r="AI9" s="55">
        <f t="shared" si="20"/>
        <v>0</v>
      </c>
      <c r="AJ9" s="55">
        <f t="shared" si="20"/>
        <v>0</v>
      </c>
      <c r="AK9" s="55">
        <f t="shared" si="20"/>
        <v>0</v>
      </c>
      <c r="AL9" s="55">
        <f t="shared" si="20"/>
        <v>0</v>
      </c>
      <c r="AM9" s="55">
        <f t="shared" si="20"/>
        <v>0</v>
      </c>
      <c r="AN9" s="55">
        <f t="shared" si="20"/>
        <v>0</v>
      </c>
      <c r="AO9" s="55">
        <f t="shared" si="20"/>
        <v>0</v>
      </c>
      <c r="AP9" s="55">
        <f t="shared" si="20"/>
        <v>0</v>
      </c>
      <c r="AQ9" s="55">
        <f t="shared" si="20"/>
        <v>0</v>
      </c>
      <c r="AR9" s="55">
        <f t="shared" si="20"/>
        <v>0</v>
      </c>
      <c r="AS9" s="55">
        <f>SUM(AG9:AR9)</f>
        <v>0</v>
      </c>
      <c r="AT9" s="262">
        <f>+AR9</f>
        <v>0</v>
      </c>
      <c r="AU9" s="55">
        <f t="shared" ref="AU9:BE9" si="21">+AT9</f>
        <v>0</v>
      </c>
      <c r="AV9" s="55">
        <f t="shared" si="21"/>
        <v>0</v>
      </c>
      <c r="AW9" s="55">
        <f t="shared" si="21"/>
        <v>0</v>
      </c>
      <c r="AX9" s="55">
        <f t="shared" si="21"/>
        <v>0</v>
      </c>
      <c r="AY9" s="55">
        <f t="shared" si="21"/>
        <v>0</v>
      </c>
      <c r="AZ9" s="55">
        <f t="shared" si="21"/>
        <v>0</v>
      </c>
      <c r="BA9" s="55">
        <f t="shared" si="21"/>
        <v>0</v>
      </c>
      <c r="BB9" s="55">
        <f t="shared" si="21"/>
        <v>0</v>
      </c>
      <c r="BC9" s="55">
        <f t="shared" si="21"/>
        <v>0</v>
      </c>
      <c r="BD9" s="55">
        <f t="shared" si="21"/>
        <v>0</v>
      </c>
      <c r="BE9" s="55">
        <f t="shared" si="21"/>
        <v>0</v>
      </c>
      <c r="BF9" s="55">
        <f>SUM(AT9:BE9)</f>
        <v>0</v>
      </c>
      <c r="BG9" s="262">
        <f>+BE9</f>
        <v>0</v>
      </c>
      <c r="BH9" s="55">
        <f t="shared" ref="BH9:BR9" si="22">+BG9</f>
        <v>0</v>
      </c>
      <c r="BI9" s="55">
        <f t="shared" si="22"/>
        <v>0</v>
      </c>
      <c r="BJ9" s="55">
        <f t="shared" si="22"/>
        <v>0</v>
      </c>
      <c r="BK9" s="55">
        <f t="shared" si="22"/>
        <v>0</v>
      </c>
      <c r="BL9" s="55">
        <f t="shared" si="22"/>
        <v>0</v>
      </c>
      <c r="BM9" s="55">
        <f t="shared" si="22"/>
        <v>0</v>
      </c>
      <c r="BN9" s="55">
        <f t="shared" si="22"/>
        <v>0</v>
      </c>
      <c r="BO9" s="55">
        <f t="shared" si="22"/>
        <v>0</v>
      </c>
      <c r="BP9" s="55">
        <f t="shared" si="22"/>
        <v>0</v>
      </c>
      <c r="BQ9" s="55">
        <f t="shared" si="22"/>
        <v>0</v>
      </c>
      <c r="BR9" s="55">
        <f t="shared" si="22"/>
        <v>0</v>
      </c>
      <c r="BS9" s="56">
        <f>SUM(BG9:BR9)</f>
        <v>0</v>
      </c>
    </row>
    <row r="10" spans="1:71" ht="15.75" thickBot="1" x14ac:dyDescent="0.3">
      <c r="A10" s="3" t="s">
        <v>5</v>
      </c>
      <c r="B10" s="4">
        <v>26</v>
      </c>
      <c r="C10" s="4">
        <v>26</v>
      </c>
      <c r="D10" s="4">
        <v>26</v>
      </c>
      <c r="F10" s="54" t="s">
        <v>93</v>
      </c>
      <c r="G10" s="55">
        <f>SUM(G6:G9)</f>
        <v>16</v>
      </c>
      <c r="H10" s="55">
        <f t="shared" ref="H10:AR10" si="23">SUM(H6:H9)</f>
        <v>16</v>
      </c>
      <c r="I10" s="55">
        <f t="shared" si="23"/>
        <v>16</v>
      </c>
      <c r="J10" s="55">
        <f t="shared" si="23"/>
        <v>16</v>
      </c>
      <c r="K10" s="55">
        <f t="shared" si="23"/>
        <v>16</v>
      </c>
      <c r="L10" s="55">
        <f t="shared" si="23"/>
        <v>16</v>
      </c>
      <c r="M10" s="55">
        <f t="shared" si="23"/>
        <v>32</v>
      </c>
      <c r="N10" s="55">
        <f t="shared" si="23"/>
        <v>32</v>
      </c>
      <c r="O10" s="55">
        <f t="shared" si="23"/>
        <v>32</v>
      </c>
      <c r="P10" s="55">
        <f t="shared" si="23"/>
        <v>32</v>
      </c>
      <c r="Q10" s="55">
        <f t="shared" si="23"/>
        <v>32</v>
      </c>
      <c r="R10" s="55">
        <f t="shared" si="23"/>
        <v>32</v>
      </c>
      <c r="S10" s="55">
        <f>SUM(G10:R10)</f>
        <v>288</v>
      </c>
      <c r="T10" s="55">
        <f t="shared" si="23"/>
        <v>32</v>
      </c>
      <c r="U10" s="55">
        <f t="shared" si="23"/>
        <v>32</v>
      </c>
      <c r="V10" s="55">
        <f t="shared" si="23"/>
        <v>32</v>
      </c>
      <c r="W10" s="55">
        <f t="shared" si="23"/>
        <v>32</v>
      </c>
      <c r="X10" s="55">
        <f t="shared" si="23"/>
        <v>32</v>
      </c>
      <c r="Y10" s="55">
        <f t="shared" si="23"/>
        <v>32</v>
      </c>
      <c r="Z10" s="55">
        <f t="shared" si="23"/>
        <v>48</v>
      </c>
      <c r="AA10" s="55">
        <f t="shared" si="23"/>
        <v>48</v>
      </c>
      <c r="AB10" s="55">
        <f t="shared" si="23"/>
        <v>48</v>
      </c>
      <c r="AC10" s="55">
        <f t="shared" si="23"/>
        <v>48</v>
      </c>
      <c r="AD10" s="55">
        <f t="shared" si="23"/>
        <v>48</v>
      </c>
      <c r="AE10" s="55">
        <f t="shared" si="23"/>
        <v>48</v>
      </c>
      <c r="AF10" s="55">
        <f>SUM(T10:AE10)</f>
        <v>480</v>
      </c>
      <c r="AG10" s="55">
        <f t="shared" si="23"/>
        <v>48</v>
      </c>
      <c r="AH10" s="55">
        <f t="shared" si="23"/>
        <v>48</v>
      </c>
      <c r="AI10" s="55">
        <f t="shared" si="23"/>
        <v>48</v>
      </c>
      <c r="AJ10" s="55">
        <f t="shared" si="23"/>
        <v>48</v>
      </c>
      <c r="AK10" s="55">
        <f t="shared" si="23"/>
        <v>48</v>
      </c>
      <c r="AL10" s="55">
        <f t="shared" si="23"/>
        <v>48</v>
      </c>
      <c r="AM10" s="55">
        <f t="shared" si="23"/>
        <v>48</v>
      </c>
      <c r="AN10" s="55">
        <f t="shared" si="23"/>
        <v>48</v>
      </c>
      <c r="AO10" s="55">
        <f t="shared" si="23"/>
        <v>48</v>
      </c>
      <c r="AP10" s="55">
        <f t="shared" si="23"/>
        <v>48</v>
      </c>
      <c r="AQ10" s="55">
        <f t="shared" si="23"/>
        <v>48</v>
      </c>
      <c r="AR10" s="55">
        <f t="shared" si="23"/>
        <v>48</v>
      </c>
      <c r="AS10" s="55">
        <f>SUM(AG10:AR10)</f>
        <v>576</v>
      </c>
      <c r="AT10" s="262">
        <f t="shared" ref="AT10:BE10" si="24">SUM(AT6:AT9)</f>
        <v>48</v>
      </c>
      <c r="AU10" s="55">
        <f t="shared" si="24"/>
        <v>48</v>
      </c>
      <c r="AV10" s="55">
        <f t="shared" si="24"/>
        <v>48</v>
      </c>
      <c r="AW10" s="55">
        <f t="shared" si="24"/>
        <v>48</v>
      </c>
      <c r="AX10" s="55">
        <f t="shared" si="24"/>
        <v>48</v>
      </c>
      <c r="AY10" s="55">
        <f t="shared" si="24"/>
        <v>48</v>
      </c>
      <c r="AZ10" s="55">
        <f t="shared" si="24"/>
        <v>48</v>
      </c>
      <c r="BA10" s="55">
        <f t="shared" si="24"/>
        <v>48</v>
      </c>
      <c r="BB10" s="55">
        <f t="shared" si="24"/>
        <v>48</v>
      </c>
      <c r="BC10" s="55">
        <f t="shared" si="24"/>
        <v>48</v>
      </c>
      <c r="BD10" s="55">
        <f t="shared" si="24"/>
        <v>48</v>
      </c>
      <c r="BE10" s="55">
        <f t="shared" si="24"/>
        <v>48</v>
      </c>
      <c r="BF10" s="55">
        <f>SUM(AT10:BE10)</f>
        <v>576</v>
      </c>
      <c r="BG10" s="262">
        <f t="shared" ref="BG10:BR10" si="25">SUM(BG6:BG9)</f>
        <v>48</v>
      </c>
      <c r="BH10" s="55">
        <f t="shared" si="25"/>
        <v>48</v>
      </c>
      <c r="BI10" s="55">
        <f t="shared" si="25"/>
        <v>48</v>
      </c>
      <c r="BJ10" s="55">
        <f t="shared" si="25"/>
        <v>48</v>
      </c>
      <c r="BK10" s="55">
        <f t="shared" si="25"/>
        <v>48</v>
      </c>
      <c r="BL10" s="55">
        <f t="shared" si="25"/>
        <v>48</v>
      </c>
      <c r="BM10" s="55">
        <f t="shared" si="25"/>
        <v>48</v>
      </c>
      <c r="BN10" s="55">
        <f t="shared" si="25"/>
        <v>48</v>
      </c>
      <c r="BO10" s="55">
        <f t="shared" si="25"/>
        <v>48</v>
      </c>
      <c r="BP10" s="55">
        <f t="shared" si="25"/>
        <v>48</v>
      </c>
      <c r="BQ10" s="55">
        <f t="shared" si="25"/>
        <v>48</v>
      </c>
      <c r="BR10" s="55">
        <f t="shared" si="25"/>
        <v>48</v>
      </c>
      <c r="BS10" s="56">
        <f>SUM(BG10:BR10)</f>
        <v>576</v>
      </c>
    </row>
    <row r="11" spans="1:71" ht="15.75" thickBot="1" x14ac:dyDescent="0.3">
      <c r="A11" s="3"/>
      <c r="B11" s="4"/>
      <c r="C11" s="4"/>
      <c r="D11" s="4"/>
      <c r="F11" s="57" t="s">
        <v>95</v>
      </c>
      <c r="G11" s="55">
        <v>5</v>
      </c>
      <c r="H11" s="55">
        <v>5</v>
      </c>
      <c r="I11" s="55">
        <v>5</v>
      </c>
      <c r="J11" s="55">
        <v>5</v>
      </c>
      <c r="K11" s="55">
        <v>5</v>
      </c>
      <c r="L11" s="55">
        <v>5</v>
      </c>
      <c r="M11" s="55">
        <v>5</v>
      </c>
      <c r="N11" s="55">
        <v>5</v>
      </c>
      <c r="O11" s="55">
        <v>5</v>
      </c>
      <c r="P11" s="55">
        <v>5</v>
      </c>
      <c r="Q11" s="55">
        <v>5</v>
      </c>
      <c r="R11" s="55">
        <v>5</v>
      </c>
      <c r="S11" s="55">
        <f>+R11</f>
        <v>5</v>
      </c>
      <c r="T11" s="55">
        <v>5</v>
      </c>
      <c r="U11" s="55">
        <v>5</v>
      </c>
      <c r="V11" s="55">
        <v>5</v>
      </c>
      <c r="W11" s="55">
        <v>5</v>
      </c>
      <c r="X11" s="55">
        <v>5</v>
      </c>
      <c r="Y11" s="55">
        <v>5</v>
      </c>
      <c r="Z11" s="55">
        <v>5</v>
      </c>
      <c r="AA11" s="55">
        <v>5</v>
      </c>
      <c r="AB11" s="55">
        <v>5</v>
      </c>
      <c r="AC11" s="55">
        <v>5</v>
      </c>
      <c r="AD11" s="55">
        <v>5</v>
      </c>
      <c r="AE11" s="55">
        <v>5</v>
      </c>
      <c r="AF11" s="55">
        <f>+AE11</f>
        <v>5</v>
      </c>
      <c r="AG11" s="55">
        <v>5</v>
      </c>
      <c r="AH11" s="55">
        <v>5</v>
      </c>
      <c r="AI11" s="55">
        <v>5</v>
      </c>
      <c r="AJ11" s="55">
        <v>5</v>
      </c>
      <c r="AK11" s="55">
        <v>5</v>
      </c>
      <c r="AL11" s="55">
        <v>5</v>
      </c>
      <c r="AM11" s="55">
        <v>5</v>
      </c>
      <c r="AN11" s="55">
        <v>5</v>
      </c>
      <c r="AO11" s="55">
        <v>5</v>
      </c>
      <c r="AP11" s="55">
        <v>5</v>
      </c>
      <c r="AQ11" s="55">
        <v>5</v>
      </c>
      <c r="AR11" s="55">
        <v>5</v>
      </c>
      <c r="AS11" s="55">
        <f>+AR11</f>
        <v>5</v>
      </c>
      <c r="AT11" s="262">
        <v>5</v>
      </c>
      <c r="AU11" s="55">
        <v>5</v>
      </c>
      <c r="AV11" s="55">
        <v>5</v>
      </c>
      <c r="AW11" s="55">
        <v>5</v>
      </c>
      <c r="AX11" s="55">
        <v>5</v>
      </c>
      <c r="AY11" s="55">
        <v>5</v>
      </c>
      <c r="AZ11" s="55">
        <v>5</v>
      </c>
      <c r="BA11" s="55">
        <v>5</v>
      </c>
      <c r="BB11" s="55">
        <v>5</v>
      </c>
      <c r="BC11" s="55">
        <v>5</v>
      </c>
      <c r="BD11" s="55">
        <v>5</v>
      </c>
      <c r="BE11" s="55">
        <v>5</v>
      </c>
      <c r="BF11" s="55">
        <f>+BE11</f>
        <v>5</v>
      </c>
      <c r="BG11" s="262">
        <v>5</v>
      </c>
      <c r="BH11" s="55">
        <v>5</v>
      </c>
      <c r="BI11" s="55">
        <v>5</v>
      </c>
      <c r="BJ11" s="55">
        <v>5</v>
      </c>
      <c r="BK11" s="55">
        <v>5</v>
      </c>
      <c r="BL11" s="55">
        <v>5</v>
      </c>
      <c r="BM11" s="55">
        <v>5</v>
      </c>
      <c r="BN11" s="55">
        <v>5</v>
      </c>
      <c r="BO11" s="55">
        <v>5</v>
      </c>
      <c r="BP11" s="55">
        <v>5</v>
      </c>
      <c r="BQ11" s="55">
        <v>5</v>
      </c>
      <c r="BR11" s="55">
        <v>5</v>
      </c>
      <c r="BS11" s="56">
        <f>+BR11</f>
        <v>5</v>
      </c>
    </row>
    <row r="12" spans="1:71" ht="15.75" thickBot="1" x14ac:dyDescent="0.3">
      <c r="A12" s="3"/>
      <c r="B12" s="4"/>
      <c r="C12" s="4"/>
      <c r="D12" s="4"/>
      <c r="F12" s="57" t="s">
        <v>94</v>
      </c>
      <c r="G12" s="55">
        <v>4</v>
      </c>
      <c r="H12" s="55">
        <v>4</v>
      </c>
      <c r="I12" s="55">
        <v>4</v>
      </c>
      <c r="J12" s="55">
        <v>4</v>
      </c>
      <c r="K12" s="55">
        <v>4</v>
      </c>
      <c r="L12" s="55">
        <v>4</v>
      </c>
      <c r="M12" s="55">
        <v>4</v>
      </c>
      <c r="N12" s="55">
        <v>4</v>
      </c>
      <c r="O12" s="55">
        <v>4</v>
      </c>
      <c r="P12" s="55">
        <v>4</v>
      </c>
      <c r="Q12" s="55">
        <v>4</v>
      </c>
      <c r="R12" s="55">
        <v>4</v>
      </c>
      <c r="S12" s="65">
        <f>+R12</f>
        <v>4</v>
      </c>
      <c r="T12" s="65">
        <v>4</v>
      </c>
      <c r="U12" s="65">
        <v>4</v>
      </c>
      <c r="V12" s="65">
        <v>4</v>
      </c>
      <c r="W12" s="65">
        <v>4</v>
      </c>
      <c r="X12" s="65">
        <v>4</v>
      </c>
      <c r="Y12" s="65">
        <v>4</v>
      </c>
      <c r="Z12" s="65">
        <v>4</v>
      </c>
      <c r="AA12" s="65">
        <v>4</v>
      </c>
      <c r="AB12" s="65">
        <v>4</v>
      </c>
      <c r="AC12" s="65">
        <v>4</v>
      </c>
      <c r="AD12" s="65">
        <v>4</v>
      </c>
      <c r="AE12" s="65">
        <v>4</v>
      </c>
      <c r="AF12" s="65">
        <f>+AE12</f>
        <v>4</v>
      </c>
      <c r="AG12" s="65">
        <v>4</v>
      </c>
      <c r="AH12" s="65">
        <v>4</v>
      </c>
      <c r="AI12" s="65">
        <v>4</v>
      </c>
      <c r="AJ12" s="65">
        <v>4</v>
      </c>
      <c r="AK12" s="65">
        <v>4</v>
      </c>
      <c r="AL12" s="65">
        <v>4</v>
      </c>
      <c r="AM12" s="65">
        <v>4</v>
      </c>
      <c r="AN12" s="65">
        <v>4</v>
      </c>
      <c r="AO12" s="65">
        <v>4</v>
      </c>
      <c r="AP12" s="65">
        <v>4</v>
      </c>
      <c r="AQ12" s="65">
        <v>4</v>
      </c>
      <c r="AR12" s="65">
        <v>4</v>
      </c>
      <c r="AS12" s="65">
        <f>+AR12</f>
        <v>4</v>
      </c>
      <c r="AT12" s="263">
        <v>4</v>
      </c>
      <c r="AU12" s="65">
        <v>4</v>
      </c>
      <c r="AV12" s="65">
        <v>4</v>
      </c>
      <c r="AW12" s="65">
        <v>4</v>
      </c>
      <c r="AX12" s="65">
        <v>4</v>
      </c>
      <c r="AY12" s="65">
        <v>4</v>
      </c>
      <c r="AZ12" s="65">
        <v>4</v>
      </c>
      <c r="BA12" s="65">
        <v>4</v>
      </c>
      <c r="BB12" s="65">
        <v>4</v>
      </c>
      <c r="BC12" s="65">
        <v>4</v>
      </c>
      <c r="BD12" s="65">
        <v>4</v>
      </c>
      <c r="BE12" s="65">
        <v>4</v>
      </c>
      <c r="BF12" s="65">
        <f>+BE12</f>
        <v>4</v>
      </c>
      <c r="BG12" s="263">
        <v>4</v>
      </c>
      <c r="BH12" s="65">
        <v>4</v>
      </c>
      <c r="BI12" s="65">
        <v>4</v>
      </c>
      <c r="BJ12" s="65">
        <v>4</v>
      </c>
      <c r="BK12" s="65">
        <v>4</v>
      </c>
      <c r="BL12" s="65">
        <v>4</v>
      </c>
      <c r="BM12" s="65">
        <v>4</v>
      </c>
      <c r="BN12" s="65">
        <v>4</v>
      </c>
      <c r="BO12" s="65">
        <v>4</v>
      </c>
      <c r="BP12" s="65">
        <v>4</v>
      </c>
      <c r="BQ12" s="65">
        <v>4</v>
      </c>
      <c r="BR12" s="65">
        <v>4</v>
      </c>
      <c r="BS12" s="67">
        <f>+BR12</f>
        <v>4</v>
      </c>
    </row>
    <row r="13" spans="1:71" ht="15.75" thickBot="1" x14ac:dyDescent="0.3">
      <c r="A13" s="3"/>
      <c r="B13" s="4"/>
      <c r="C13" s="4"/>
      <c r="D13" s="4"/>
      <c r="F13" s="152" t="s">
        <v>63</v>
      </c>
      <c r="G13" s="150">
        <f t="shared" ref="G13:R13" si="26">+G10*G11*G12</f>
        <v>320</v>
      </c>
      <c r="H13" s="150">
        <f t="shared" si="26"/>
        <v>320</v>
      </c>
      <c r="I13" s="150">
        <f t="shared" si="26"/>
        <v>320</v>
      </c>
      <c r="J13" s="150">
        <f t="shared" si="26"/>
        <v>320</v>
      </c>
      <c r="K13" s="150">
        <f t="shared" si="26"/>
        <v>320</v>
      </c>
      <c r="L13" s="150">
        <f t="shared" si="26"/>
        <v>320</v>
      </c>
      <c r="M13" s="150">
        <f t="shared" si="26"/>
        <v>640</v>
      </c>
      <c r="N13" s="150">
        <f t="shared" si="26"/>
        <v>640</v>
      </c>
      <c r="O13" s="150">
        <f t="shared" si="26"/>
        <v>640</v>
      </c>
      <c r="P13" s="150">
        <f t="shared" si="26"/>
        <v>640</v>
      </c>
      <c r="Q13" s="150">
        <f t="shared" si="26"/>
        <v>640</v>
      </c>
      <c r="R13" s="150">
        <f t="shared" si="26"/>
        <v>640</v>
      </c>
      <c r="S13" s="150">
        <f>SUM(G13:R13)</f>
        <v>5760</v>
      </c>
      <c r="T13" s="150">
        <f t="shared" ref="T13:AE13" si="27">+T10*T11*T12</f>
        <v>640</v>
      </c>
      <c r="U13" s="150">
        <f t="shared" si="27"/>
        <v>640</v>
      </c>
      <c r="V13" s="150">
        <f t="shared" si="27"/>
        <v>640</v>
      </c>
      <c r="W13" s="150">
        <f t="shared" si="27"/>
        <v>640</v>
      </c>
      <c r="X13" s="150">
        <f t="shared" si="27"/>
        <v>640</v>
      </c>
      <c r="Y13" s="150">
        <f t="shared" si="27"/>
        <v>640</v>
      </c>
      <c r="Z13" s="150">
        <f t="shared" si="27"/>
        <v>960</v>
      </c>
      <c r="AA13" s="150">
        <f t="shared" si="27"/>
        <v>960</v>
      </c>
      <c r="AB13" s="150">
        <f t="shared" si="27"/>
        <v>960</v>
      </c>
      <c r="AC13" s="150">
        <f t="shared" si="27"/>
        <v>960</v>
      </c>
      <c r="AD13" s="150">
        <f t="shared" si="27"/>
        <v>960</v>
      </c>
      <c r="AE13" s="150">
        <f t="shared" si="27"/>
        <v>960</v>
      </c>
      <c r="AF13" s="150">
        <f>SUM(T13:AE13)</f>
        <v>9600</v>
      </c>
      <c r="AG13" s="150">
        <f t="shared" ref="AG13:AR13" si="28">+AG10*AG11*AG12</f>
        <v>960</v>
      </c>
      <c r="AH13" s="150">
        <f t="shared" si="28"/>
        <v>960</v>
      </c>
      <c r="AI13" s="150">
        <f t="shared" si="28"/>
        <v>960</v>
      </c>
      <c r="AJ13" s="150">
        <f t="shared" si="28"/>
        <v>960</v>
      </c>
      <c r="AK13" s="150">
        <f t="shared" si="28"/>
        <v>960</v>
      </c>
      <c r="AL13" s="150">
        <f t="shared" si="28"/>
        <v>960</v>
      </c>
      <c r="AM13" s="150">
        <f t="shared" si="28"/>
        <v>960</v>
      </c>
      <c r="AN13" s="150">
        <f t="shared" si="28"/>
        <v>960</v>
      </c>
      <c r="AO13" s="150">
        <f t="shared" si="28"/>
        <v>960</v>
      </c>
      <c r="AP13" s="150">
        <f t="shared" si="28"/>
        <v>960</v>
      </c>
      <c r="AQ13" s="150">
        <f t="shared" si="28"/>
        <v>960</v>
      </c>
      <c r="AR13" s="150">
        <f t="shared" si="28"/>
        <v>960</v>
      </c>
      <c r="AS13" s="150">
        <f>SUM(AG13:AR13)</f>
        <v>11520</v>
      </c>
      <c r="AT13" s="264">
        <f t="shared" ref="AT13:BE13" si="29">+AT10*AT11*AT12</f>
        <v>960</v>
      </c>
      <c r="AU13" s="150">
        <f t="shared" si="29"/>
        <v>960</v>
      </c>
      <c r="AV13" s="150">
        <f t="shared" si="29"/>
        <v>960</v>
      </c>
      <c r="AW13" s="150">
        <f t="shared" si="29"/>
        <v>960</v>
      </c>
      <c r="AX13" s="150">
        <f t="shared" si="29"/>
        <v>960</v>
      </c>
      <c r="AY13" s="150">
        <f t="shared" si="29"/>
        <v>960</v>
      </c>
      <c r="AZ13" s="150">
        <f t="shared" si="29"/>
        <v>960</v>
      </c>
      <c r="BA13" s="150">
        <f t="shared" si="29"/>
        <v>960</v>
      </c>
      <c r="BB13" s="150">
        <f t="shared" si="29"/>
        <v>960</v>
      </c>
      <c r="BC13" s="150">
        <f t="shared" si="29"/>
        <v>960</v>
      </c>
      <c r="BD13" s="150">
        <f t="shared" si="29"/>
        <v>960</v>
      </c>
      <c r="BE13" s="150">
        <f t="shared" si="29"/>
        <v>960</v>
      </c>
      <c r="BF13" s="150">
        <f>SUM(AT13:BE13)</f>
        <v>11520</v>
      </c>
      <c r="BG13" s="264">
        <f t="shared" ref="BG13:BR13" si="30">+BG10*BG11*BG12</f>
        <v>960</v>
      </c>
      <c r="BH13" s="150">
        <f t="shared" si="30"/>
        <v>960</v>
      </c>
      <c r="BI13" s="150">
        <f t="shared" si="30"/>
        <v>960</v>
      </c>
      <c r="BJ13" s="150">
        <f t="shared" si="30"/>
        <v>960</v>
      </c>
      <c r="BK13" s="150">
        <f t="shared" si="30"/>
        <v>960</v>
      </c>
      <c r="BL13" s="150">
        <f t="shared" si="30"/>
        <v>960</v>
      </c>
      <c r="BM13" s="150">
        <f t="shared" si="30"/>
        <v>960</v>
      </c>
      <c r="BN13" s="150">
        <f t="shared" si="30"/>
        <v>960</v>
      </c>
      <c r="BO13" s="150">
        <f t="shared" si="30"/>
        <v>960</v>
      </c>
      <c r="BP13" s="150">
        <f t="shared" si="30"/>
        <v>960</v>
      </c>
      <c r="BQ13" s="150">
        <f t="shared" si="30"/>
        <v>960</v>
      </c>
      <c r="BR13" s="150">
        <f t="shared" si="30"/>
        <v>960</v>
      </c>
      <c r="BS13" s="154">
        <f>SUM(BG13:BR13)</f>
        <v>11520</v>
      </c>
    </row>
    <row r="14" spans="1:71" ht="15.75" thickBot="1" x14ac:dyDescent="0.3">
      <c r="A14" s="3" t="s">
        <v>6</v>
      </c>
      <c r="B14" s="4">
        <v>12</v>
      </c>
      <c r="C14" s="4">
        <v>12</v>
      </c>
      <c r="D14" s="4">
        <v>12</v>
      </c>
      <c r="F14" s="54" t="s">
        <v>62</v>
      </c>
      <c r="G14" s="59">
        <v>80000</v>
      </c>
      <c r="H14" s="60">
        <f>ROUND(G14*(1+G15),0)</f>
        <v>80000</v>
      </c>
      <c r="I14" s="60">
        <f t="shared" ref="I14:R14" si="31">ROUND(H14*(1+H15),0)</f>
        <v>80000</v>
      </c>
      <c r="J14" s="60">
        <f t="shared" si="31"/>
        <v>80000</v>
      </c>
      <c r="K14" s="60">
        <f t="shared" si="31"/>
        <v>80000</v>
      </c>
      <c r="L14" s="60">
        <f t="shared" si="31"/>
        <v>80000</v>
      </c>
      <c r="M14" s="60">
        <f t="shared" si="31"/>
        <v>80000</v>
      </c>
      <c r="N14" s="60">
        <f t="shared" si="31"/>
        <v>80000</v>
      </c>
      <c r="O14" s="60">
        <f t="shared" si="31"/>
        <v>80000</v>
      </c>
      <c r="P14" s="60">
        <f t="shared" si="31"/>
        <v>80000</v>
      </c>
      <c r="Q14" s="60">
        <f t="shared" si="31"/>
        <v>80000</v>
      </c>
      <c r="R14" s="60">
        <f t="shared" si="31"/>
        <v>80000</v>
      </c>
      <c r="S14" s="60">
        <f>+R14</f>
        <v>80000</v>
      </c>
      <c r="T14" s="60">
        <f>ROUND(R14*(1+R15),0)</f>
        <v>83200</v>
      </c>
      <c r="U14" s="60">
        <f>ROUND(T14*(1+T15),0)</f>
        <v>83200</v>
      </c>
      <c r="V14" s="60">
        <f t="shared" ref="V14:AE14" si="32">ROUND(U14*(1+U15),0)</f>
        <v>83200</v>
      </c>
      <c r="W14" s="60">
        <f t="shared" si="32"/>
        <v>83200</v>
      </c>
      <c r="X14" s="60">
        <f t="shared" si="32"/>
        <v>83200</v>
      </c>
      <c r="Y14" s="60">
        <f t="shared" si="32"/>
        <v>83200</v>
      </c>
      <c r="Z14" s="60">
        <f t="shared" si="32"/>
        <v>83200</v>
      </c>
      <c r="AA14" s="60">
        <f t="shared" si="32"/>
        <v>83200</v>
      </c>
      <c r="AB14" s="60">
        <f t="shared" si="32"/>
        <v>83200</v>
      </c>
      <c r="AC14" s="60">
        <f t="shared" si="32"/>
        <v>83200</v>
      </c>
      <c r="AD14" s="60">
        <f t="shared" si="32"/>
        <v>83200</v>
      </c>
      <c r="AE14" s="60">
        <f t="shared" si="32"/>
        <v>83200</v>
      </c>
      <c r="AF14" s="60">
        <f>+AE14</f>
        <v>83200</v>
      </c>
      <c r="AG14" s="60">
        <f>ROUND(AE14*(1+AE15),0)</f>
        <v>86528</v>
      </c>
      <c r="AH14" s="60">
        <f>ROUND(AG14*(1+AG15),0)</f>
        <v>86528</v>
      </c>
      <c r="AI14" s="60">
        <f t="shared" ref="AI14:AR14" si="33">ROUND(AH14*(1+AH15),0)</f>
        <v>86528</v>
      </c>
      <c r="AJ14" s="60">
        <f t="shared" si="33"/>
        <v>86528</v>
      </c>
      <c r="AK14" s="60">
        <f t="shared" si="33"/>
        <v>86528</v>
      </c>
      <c r="AL14" s="60">
        <f t="shared" si="33"/>
        <v>86528</v>
      </c>
      <c r="AM14" s="60">
        <f t="shared" si="33"/>
        <v>86528</v>
      </c>
      <c r="AN14" s="60">
        <f t="shared" si="33"/>
        <v>86528</v>
      </c>
      <c r="AO14" s="60">
        <f t="shared" si="33"/>
        <v>86528</v>
      </c>
      <c r="AP14" s="60">
        <f t="shared" si="33"/>
        <v>86528</v>
      </c>
      <c r="AQ14" s="60">
        <f t="shared" si="33"/>
        <v>86528</v>
      </c>
      <c r="AR14" s="60">
        <f t="shared" si="33"/>
        <v>86528</v>
      </c>
      <c r="AS14" s="60">
        <f>+AR14</f>
        <v>86528</v>
      </c>
      <c r="AT14" s="265">
        <f>ROUND(AR14*(1+AR15),0)</f>
        <v>89989</v>
      </c>
      <c r="AU14" s="60">
        <f t="shared" ref="AU14:BE14" si="34">ROUND(AT14*(1+AT15),0)</f>
        <v>89989</v>
      </c>
      <c r="AV14" s="60">
        <f t="shared" si="34"/>
        <v>89989</v>
      </c>
      <c r="AW14" s="60">
        <f t="shared" si="34"/>
        <v>89989</v>
      </c>
      <c r="AX14" s="60">
        <f t="shared" si="34"/>
        <v>89989</v>
      </c>
      <c r="AY14" s="60">
        <f t="shared" si="34"/>
        <v>89989</v>
      </c>
      <c r="AZ14" s="60">
        <f t="shared" si="34"/>
        <v>89989</v>
      </c>
      <c r="BA14" s="60">
        <f t="shared" si="34"/>
        <v>89989</v>
      </c>
      <c r="BB14" s="60">
        <f t="shared" si="34"/>
        <v>89989</v>
      </c>
      <c r="BC14" s="60">
        <f t="shared" si="34"/>
        <v>89989</v>
      </c>
      <c r="BD14" s="60">
        <f t="shared" si="34"/>
        <v>89989</v>
      </c>
      <c r="BE14" s="60">
        <f t="shared" si="34"/>
        <v>89989</v>
      </c>
      <c r="BF14" s="60">
        <f>+BE14</f>
        <v>89989</v>
      </c>
      <c r="BG14" s="265">
        <f>ROUND(BE14*(1+BE15),0)</f>
        <v>93589</v>
      </c>
      <c r="BH14" s="60">
        <f t="shared" ref="BH14:BR14" si="35">ROUND(BG14*(1+BG15),0)</f>
        <v>93589</v>
      </c>
      <c r="BI14" s="60">
        <f t="shared" si="35"/>
        <v>93589</v>
      </c>
      <c r="BJ14" s="60">
        <f t="shared" si="35"/>
        <v>93589</v>
      </c>
      <c r="BK14" s="60">
        <f t="shared" si="35"/>
        <v>93589</v>
      </c>
      <c r="BL14" s="60">
        <f t="shared" si="35"/>
        <v>93589</v>
      </c>
      <c r="BM14" s="60">
        <f t="shared" si="35"/>
        <v>93589</v>
      </c>
      <c r="BN14" s="60">
        <f t="shared" si="35"/>
        <v>93589</v>
      </c>
      <c r="BO14" s="60">
        <f t="shared" si="35"/>
        <v>93589</v>
      </c>
      <c r="BP14" s="60">
        <f t="shared" si="35"/>
        <v>93589</v>
      </c>
      <c r="BQ14" s="60">
        <f t="shared" si="35"/>
        <v>93589</v>
      </c>
      <c r="BR14" s="60">
        <f t="shared" si="35"/>
        <v>93589</v>
      </c>
      <c r="BS14" s="61">
        <f>+BR14</f>
        <v>93589</v>
      </c>
    </row>
    <row r="15" spans="1:71" ht="15.75" thickBot="1" x14ac:dyDescent="0.3">
      <c r="A15" s="3"/>
      <c r="B15" s="4"/>
      <c r="C15" s="4"/>
      <c r="D15" s="4"/>
      <c r="F15" s="57" t="s">
        <v>96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>
        <v>0.04</v>
      </c>
      <c r="S15" s="155">
        <f>+R15</f>
        <v>0.04</v>
      </c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>
        <v>0.04</v>
      </c>
      <c r="AF15" s="155">
        <f>+AE15</f>
        <v>0.04</v>
      </c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>
        <v>0.04</v>
      </c>
      <c r="AS15" s="155">
        <f>+AR15</f>
        <v>0.04</v>
      </c>
      <c r="AT15" s="266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>
        <v>0.04</v>
      </c>
      <c r="BF15" s="155">
        <f>+BE15</f>
        <v>0.04</v>
      </c>
      <c r="BG15" s="266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>
        <v>0.04</v>
      </c>
      <c r="BS15" s="156">
        <f>+BR15</f>
        <v>0.04</v>
      </c>
    </row>
    <row r="16" spans="1:71" ht="16.5" thickBot="1" x14ac:dyDescent="0.3">
      <c r="A16" s="3" t="s">
        <v>7</v>
      </c>
      <c r="B16" s="4">
        <v>13</v>
      </c>
      <c r="C16" s="4">
        <v>15</v>
      </c>
      <c r="D16" s="4">
        <v>17</v>
      </c>
      <c r="F16" s="153" t="s">
        <v>214</v>
      </c>
      <c r="G16" s="151">
        <f t="shared" ref="G16:R16" si="36">ROUND(G13*G14,0)</f>
        <v>25600000</v>
      </c>
      <c r="H16" s="151">
        <f t="shared" si="36"/>
        <v>25600000</v>
      </c>
      <c r="I16" s="151">
        <f t="shared" si="36"/>
        <v>25600000</v>
      </c>
      <c r="J16" s="151">
        <f t="shared" si="36"/>
        <v>25600000</v>
      </c>
      <c r="K16" s="151">
        <f t="shared" si="36"/>
        <v>25600000</v>
      </c>
      <c r="L16" s="151">
        <f t="shared" si="36"/>
        <v>25600000</v>
      </c>
      <c r="M16" s="151">
        <f t="shared" si="36"/>
        <v>51200000</v>
      </c>
      <c r="N16" s="151">
        <f t="shared" si="36"/>
        <v>51200000</v>
      </c>
      <c r="O16" s="151">
        <f t="shared" si="36"/>
        <v>51200000</v>
      </c>
      <c r="P16" s="151">
        <f t="shared" si="36"/>
        <v>51200000</v>
      </c>
      <c r="Q16" s="151">
        <f t="shared" si="36"/>
        <v>51200000</v>
      </c>
      <c r="R16" s="151">
        <f t="shared" si="36"/>
        <v>51200000</v>
      </c>
      <c r="S16" s="151">
        <f>SUM(G16:R16)</f>
        <v>460800000</v>
      </c>
      <c r="T16" s="151">
        <f t="shared" ref="T16:AE16" si="37">ROUND(T13*T14,0)</f>
        <v>53248000</v>
      </c>
      <c r="U16" s="151">
        <f t="shared" si="37"/>
        <v>53248000</v>
      </c>
      <c r="V16" s="151">
        <f t="shared" si="37"/>
        <v>53248000</v>
      </c>
      <c r="W16" s="151">
        <f t="shared" si="37"/>
        <v>53248000</v>
      </c>
      <c r="X16" s="151">
        <f t="shared" si="37"/>
        <v>53248000</v>
      </c>
      <c r="Y16" s="151">
        <f t="shared" si="37"/>
        <v>53248000</v>
      </c>
      <c r="Z16" s="151">
        <f t="shared" si="37"/>
        <v>79872000</v>
      </c>
      <c r="AA16" s="151">
        <f t="shared" si="37"/>
        <v>79872000</v>
      </c>
      <c r="AB16" s="151">
        <f t="shared" si="37"/>
        <v>79872000</v>
      </c>
      <c r="AC16" s="151">
        <f t="shared" si="37"/>
        <v>79872000</v>
      </c>
      <c r="AD16" s="151">
        <f t="shared" si="37"/>
        <v>79872000</v>
      </c>
      <c r="AE16" s="151">
        <f t="shared" si="37"/>
        <v>79872000</v>
      </c>
      <c r="AF16" s="151">
        <f>SUM(T16:AE16)</f>
        <v>798720000</v>
      </c>
      <c r="AG16" s="151">
        <f t="shared" ref="AG16:AR16" si="38">ROUND(AG13*AG14,0)</f>
        <v>83066880</v>
      </c>
      <c r="AH16" s="151">
        <f t="shared" si="38"/>
        <v>83066880</v>
      </c>
      <c r="AI16" s="151">
        <f t="shared" si="38"/>
        <v>83066880</v>
      </c>
      <c r="AJ16" s="151">
        <f t="shared" si="38"/>
        <v>83066880</v>
      </c>
      <c r="AK16" s="151">
        <f t="shared" si="38"/>
        <v>83066880</v>
      </c>
      <c r="AL16" s="151">
        <f t="shared" si="38"/>
        <v>83066880</v>
      </c>
      <c r="AM16" s="151">
        <f t="shared" si="38"/>
        <v>83066880</v>
      </c>
      <c r="AN16" s="151">
        <f t="shared" si="38"/>
        <v>83066880</v>
      </c>
      <c r="AO16" s="151">
        <f t="shared" si="38"/>
        <v>83066880</v>
      </c>
      <c r="AP16" s="151">
        <f t="shared" si="38"/>
        <v>83066880</v>
      </c>
      <c r="AQ16" s="151">
        <f t="shared" si="38"/>
        <v>83066880</v>
      </c>
      <c r="AR16" s="151">
        <f t="shared" si="38"/>
        <v>83066880</v>
      </c>
      <c r="AS16" s="269">
        <f>SUM(AG16:AR16)</f>
        <v>996802560</v>
      </c>
      <c r="AT16" s="267">
        <f t="shared" ref="AT16:BE16" si="39">ROUND(AT13*AT14,0)</f>
        <v>86389440</v>
      </c>
      <c r="AU16" s="151">
        <f t="shared" si="39"/>
        <v>86389440</v>
      </c>
      <c r="AV16" s="151">
        <f t="shared" si="39"/>
        <v>86389440</v>
      </c>
      <c r="AW16" s="151">
        <f t="shared" si="39"/>
        <v>86389440</v>
      </c>
      <c r="AX16" s="151">
        <f t="shared" si="39"/>
        <v>86389440</v>
      </c>
      <c r="AY16" s="151">
        <f t="shared" si="39"/>
        <v>86389440</v>
      </c>
      <c r="AZ16" s="151">
        <f t="shared" si="39"/>
        <v>86389440</v>
      </c>
      <c r="BA16" s="151">
        <f t="shared" si="39"/>
        <v>86389440</v>
      </c>
      <c r="BB16" s="151">
        <f t="shared" si="39"/>
        <v>86389440</v>
      </c>
      <c r="BC16" s="151">
        <f t="shared" si="39"/>
        <v>86389440</v>
      </c>
      <c r="BD16" s="151">
        <f t="shared" si="39"/>
        <v>86389440</v>
      </c>
      <c r="BE16" s="151">
        <f t="shared" si="39"/>
        <v>86389440</v>
      </c>
      <c r="BF16" s="269">
        <f>SUM(AT16:BE16)</f>
        <v>1036673280</v>
      </c>
      <c r="BG16" s="267">
        <f t="shared" ref="BG16:BR16" si="40">ROUND(BG13*BG14,0)</f>
        <v>89845440</v>
      </c>
      <c r="BH16" s="151">
        <f t="shared" si="40"/>
        <v>89845440</v>
      </c>
      <c r="BI16" s="151">
        <f t="shared" si="40"/>
        <v>89845440</v>
      </c>
      <c r="BJ16" s="151">
        <f t="shared" si="40"/>
        <v>89845440</v>
      </c>
      <c r="BK16" s="151">
        <f t="shared" si="40"/>
        <v>89845440</v>
      </c>
      <c r="BL16" s="151">
        <f t="shared" si="40"/>
        <v>89845440</v>
      </c>
      <c r="BM16" s="151">
        <f t="shared" si="40"/>
        <v>89845440</v>
      </c>
      <c r="BN16" s="151">
        <f t="shared" si="40"/>
        <v>89845440</v>
      </c>
      <c r="BO16" s="151">
        <f t="shared" si="40"/>
        <v>89845440</v>
      </c>
      <c r="BP16" s="151">
        <f t="shared" si="40"/>
        <v>89845440</v>
      </c>
      <c r="BQ16" s="151">
        <f t="shared" si="40"/>
        <v>89845440</v>
      </c>
      <c r="BR16" s="151">
        <f t="shared" si="40"/>
        <v>89845440</v>
      </c>
      <c r="BS16" s="157">
        <f>SUM(BG16:BR16)</f>
        <v>1078145280</v>
      </c>
    </row>
    <row r="17" spans="1:71" x14ac:dyDescent="0.25">
      <c r="F17" s="64" t="s">
        <v>231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19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19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63"/>
    </row>
    <row r="18" spans="1:71" ht="15.75" thickBot="1" x14ac:dyDescent="0.3">
      <c r="A18" s="6" t="s">
        <v>8</v>
      </c>
      <c r="B18" s="20">
        <v>2000000</v>
      </c>
      <c r="F18" s="57" t="s">
        <v>238</v>
      </c>
      <c r="G18" s="59">
        <f t="shared" ref="G18:R18" si="41">ROUND((G16*4.14)/1000,0)</f>
        <v>105984</v>
      </c>
      <c r="H18" s="59">
        <f t="shared" si="41"/>
        <v>105984</v>
      </c>
      <c r="I18" s="59">
        <f t="shared" si="41"/>
        <v>105984</v>
      </c>
      <c r="J18" s="59">
        <f t="shared" si="41"/>
        <v>105984</v>
      </c>
      <c r="K18" s="59">
        <f t="shared" si="41"/>
        <v>105984</v>
      </c>
      <c r="L18" s="59">
        <f t="shared" si="41"/>
        <v>105984</v>
      </c>
      <c r="M18" s="59">
        <f t="shared" si="41"/>
        <v>211968</v>
      </c>
      <c r="N18" s="59">
        <f t="shared" si="41"/>
        <v>211968</v>
      </c>
      <c r="O18" s="59">
        <f t="shared" si="41"/>
        <v>211968</v>
      </c>
      <c r="P18" s="59">
        <f t="shared" si="41"/>
        <v>211968</v>
      </c>
      <c r="Q18" s="59">
        <f t="shared" si="41"/>
        <v>211968</v>
      </c>
      <c r="R18" s="59">
        <f t="shared" si="41"/>
        <v>211968</v>
      </c>
      <c r="S18" s="60">
        <f>SUM(G18:R18)</f>
        <v>1907712</v>
      </c>
      <c r="T18" s="59">
        <f t="shared" ref="T18:AE18" si="42">ROUND((T16*4.14)/1000,0)</f>
        <v>220447</v>
      </c>
      <c r="U18" s="59">
        <f t="shared" si="42"/>
        <v>220447</v>
      </c>
      <c r="V18" s="59">
        <f t="shared" si="42"/>
        <v>220447</v>
      </c>
      <c r="W18" s="59">
        <f t="shared" si="42"/>
        <v>220447</v>
      </c>
      <c r="X18" s="59">
        <f t="shared" si="42"/>
        <v>220447</v>
      </c>
      <c r="Y18" s="59">
        <f t="shared" si="42"/>
        <v>220447</v>
      </c>
      <c r="Z18" s="59">
        <f t="shared" si="42"/>
        <v>330670</v>
      </c>
      <c r="AA18" s="59">
        <f t="shared" si="42"/>
        <v>330670</v>
      </c>
      <c r="AB18" s="59">
        <f t="shared" si="42"/>
        <v>330670</v>
      </c>
      <c r="AC18" s="59">
        <f t="shared" si="42"/>
        <v>330670</v>
      </c>
      <c r="AD18" s="59">
        <f t="shared" si="42"/>
        <v>330670</v>
      </c>
      <c r="AE18" s="59">
        <f t="shared" si="42"/>
        <v>330670</v>
      </c>
      <c r="AF18" s="60">
        <f>SUM(T18:AE18)</f>
        <v>3306702</v>
      </c>
      <c r="AG18" s="59">
        <f t="shared" ref="AG18:AR18" si="43">ROUND((AG16*4.14)/1000,0)</f>
        <v>343897</v>
      </c>
      <c r="AH18" s="59">
        <f t="shared" si="43"/>
        <v>343897</v>
      </c>
      <c r="AI18" s="59">
        <f t="shared" si="43"/>
        <v>343897</v>
      </c>
      <c r="AJ18" s="59">
        <f t="shared" si="43"/>
        <v>343897</v>
      </c>
      <c r="AK18" s="59">
        <f t="shared" si="43"/>
        <v>343897</v>
      </c>
      <c r="AL18" s="59">
        <f t="shared" si="43"/>
        <v>343897</v>
      </c>
      <c r="AM18" s="59">
        <f t="shared" si="43"/>
        <v>343897</v>
      </c>
      <c r="AN18" s="59">
        <f t="shared" si="43"/>
        <v>343897</v>
      </c>
      <c r="AO18" s="59">
        <f t="shared" si="43"/>
        <v>343897</v>
      </c>
      <c r="AP18" s="59">
        <f t="shared" si="43"/>
        <v>343897</v>
      </c>
      <c r="AQ18" s="59">
        <f t="shared" si="43"/>
        <v>343897</v>
      </c>
      <c r="AR18" s="59">
        <f t="shared" si="43"/>
        <v>343897</v>
      </c>
      <c r="AS18" s="60">
        <f>SUM(AG18:AR18)</f>
        <v>4126764</v>
      </c>
      <c r="AT18" s="239">
        <f t="shared" ref="AT18:BE18" si="44">ROUND((AT16*4.14)/1000,0)</f>
        <v>357652</v>
      </c>
      <c r="AU18" s="59">
        <f t="shared" si="44"/>
        <v>357652</v>
      </c>
      <c r="AV18" s="59">
        <f t="shared" si="44"/>
        <v>357652</v>
      </c>
      <c r="AW18" s="59">
        <f t="shared" si="44"/>
        <v>357652</v>
      </c>
      <c r="AX18" s="59">
        <f t="shared" si="44"/>
        <v>357652</v>
      </c>
      <c r="AY18" s="59">
        <f t="shared" si="44"/>
        <v>357652</v>
      </c>
      <c r="AZ18" s="59">
        <f t="shared" si="44"/>
        <v>357652</v>
      </c>
      <c r="BA18" s="59">
        <f t="shared" si="44"/>
        <v>357652</v>
      </c>
      <c r="BB18" s="59">
        <f t="shared" si="44"/>
        <v>357652</v>
      </c>
      <c r="BC18" s="59">
        <f t="shared" si="44"/>
        <v>357652</v>
      </c>
      <c r="BD18" s="59">
        <f t="shared" si="44"/>
        <v>357652</v>
      </c>
      <c r="BE18" s="59">
        <f t="shared" si="44"/>
        <v>357652</v>
      </c>
      <c r="BF18" s="60">
        <f>SUM(AT18:BE18)</f>
        <v>4291824</v>
      </c>
      <c r="BG18" s="239">
        <f t="shared" ref="BG18:BR18" si="45">ROUND((BG16*4.14)/1000,0)</f>
        <v>371960</v>
      </c>
      <c r="BH18" s="59">
        <f t="shared" si="45"/>
        <v>371960</v>
      </c>
      <c r="BI18" s="59">
        <f t="shared" si="45"/>
        <v>371960</v>
      </c>
      <c r="BJ18" s="59">
        <f t="shared" si="45"/>
        <v>371960</v>
      </c>
      <c r="BK18" s="59">
        <f t="shared" si="45"/>
        <v>371960</v>
      </c>
      <c r="BL18" s="59">
        <f t="shared" si="45"/>
        <v>371960</v>
      </c>
      <c r="BM18" s="59">
        <f t="shared" si="45"/>
        <v>371960</v>
      </c>
      <c r="BN18" s="59">
        <f t="shared" si="45"/>
        <v>371960</v>
      </c>
      <c r="BO18" s="59">
        <f t="shared" si="45"/>
        <v>371960</v>
      </c>
      <c r="BP18" s="59">
        <f t="shared" si="45"/>
        <v>371960</v>
      </c>
      <c r="BQ18" s="59">
        <f t="shared" si="45"/>
        <v>371960</v>
      </c>
      <c r="BR18" s="59">
        <f t="shared" si="45"/>
        <v>371960</v>
      </c>
      <c r="BS18" s="61">
        <f>SUM(BG18:BR18)</f>
        <v>4463520</v>
      </c>
    </row>
    <row r="19" spans="1:71" ht="15.75" thickBot="1" x14ac:dyDescent="0.3">
      <c r="A19" s="6" t="s">
        <v>9</v>
      </c>
      <c r="B19" s="20">
        <v>800000</v>
      </c>
      <c r="F19" s="54" t="s">
        <v>232</v>
      </c>
      <c r="G19" s="59">
        <f>ROUND(G18*0.15,0)</f>
        <v>15898</v>
      </c>
      <c r="H19" s="59">
        <f t="shared" ref="H19:T19" si="46">ROUND(H18*0.15,0)</f>
        <v>15898</v>
      </c>
      <c r="I19" s="59">
        <f t="shared" si="46"/>
        <v>15898</v>
      </c>
      <c r="J19" s="59">
        <f t="shared" si="46"/>
        <v>15898</v>
      </c>
      <c r="K19" s="59">
        <f t="shared" si="46"/>
        <v>15898</v>
      </c>
      <c r="L19" s="59">
        <f t="shared" si="46"/>
        <v>15898</v>
      </c>
      <c r="M19" s="59">
        <f t="shared" si="46"/>
        <v>31795</v>
      </c>
      <c r="N19" s="59">
        <f t="shared" si="46"/>
        <v>31795</v>
      </c>
      <c r="O19" s="59">
        <f t="shared" si="46"/>
        <v>31795</v>
      </c>
      <c r="P19" s="59">
        <f t="shared" si="46"/>
        <v>31795</v>
      </c>
      <c r="Q19" s="59">
        <f t="shared" si="46"/>
        <v>31795</v>
      </c>
      <c r="R19" s="59">
        <f t="shared" si="46"/>
        <v>31795</v>
      </c>
      <c r="S19" s="60">
        <f>SUM(G19:R19)</f>
        <v>286158</v>
      </c>
      <c r="T19" s="59">
        <f t="shared" si="46"/>
        <v>33067</v>
      </c>
      <c r="U19" s="59">
        <f t="shared" ref="U19:AE19" si="47">ROUND(U18*0.15,0)</f>
        <v>33067</v>
      </c>
      <c r="V19" s="59">
        <f t="shared" si="47"/>
        <v>33067</v>
      </c>
      <c r="W19" s="59">
        <f t="shared" si="47"/>
        <v>33067</v>
      </c>
      <c r="X19" s="59">
        <f t="shared" si="47"/>
        <v>33067</v>
      </c>
      <c r="Y19" s="59">
        <f t="shared" si="47"/>
        <v>33067</v>
      </c>
      <c r="Z19" s="59">
        <f t="shared" si="47"/>
        <v>49601</v>
      </c>
      <c r="AA19" s="59">
        <f t="shared" si="47"/>
        <v>49601</v>
      </c>
      <c r="AB19" s="59">
        <f t="shared" si="47"/>
        <v>49601</v>
      </c>
      <c r="AC19" s="59">
        <f t="shared" si="47"/>
        <v>49601</v>
      </c>
      <c r="AD19" s="59">
        <f t="shared" si="47"/>
        <v>49601</v>
      </c>
      <c r="AE19" s="59">
        <f t="shared" si="47"/>
        <v>49601</v>
      </c>
      <c r="AF19" s="60">
        <f>SUM(T19:AE19)</f>
        <v>496008</v>
      </c>
      <c r="AG19" s="59">
        <f t="shared" ref="AG19:AR19" si="48">ROUND(AG18*0.15,0)</f>
        <v>51585</v>
      </c>
      <c r="AH19" s="59">
        <f t="shared" si="48"/>
        <v>51585</v>
      </c>
      <c r="AI19" s="59">
        <f t="shared" si="48"/>
        <v>51585</v>
      </c>
      <c r="AJ19" s="59">
        <f t="shared" si="48"/>
        <v>51585</v>
      </c>
      <c r="AK19" s="59">
        <f t="shared" si="48"/>
        <v>51585</v>
      </c>
      <c r="AL19" s="59">
        <f t="shared" si="48"/>
        <v>51585</v>
      </c>
      <c r="AM19" s="59">
        <f t="shared" si="48"/>
        <v>51585</v>
      </c>
      <c r="AN19" s="59">
        <f t="shared" si="48"/>
        <v>51585</v>
      </c>
      <c r="AO19" s="59">
        <f t="shared" si="48"/>
        <v>51585</v>
      </c>
      <c r="AP19" s="59">
        <f t="shared" si="48"/>
        <v>51585</v>
      </c>
      <c r="AQ19" s="59">
        <f t="shared" si="48"/>
        <v>51585</v>
      </c>
      <c r="AR19" s="59">
        <f t="shared" si="48"/>
        <v>51585</v>
      </c>
      <c r="AS19" s="60">
        <f>SUM(AG19:AR19)</f>
        <v>619020</v>
      </c>
      <c r="AT19" s="239">
        <f t="shared" ref="AT19:BE19" si="49">ROUND(AT18*0.15,0)</f>
        <v>53648</v>
      </c>
      <c r="AU19" s="59">
        <f t="shared" si="49"/>
        <v>53648</v>
      </c>
      <c r="AV19" s="59">
        <f t="shared" si="49"/>
        <v>53648</v>
      </c>
      <c r="AW19" s="59">
        <f t="shared" si="49"/>
        <v>53648</v>
      </c>
      <c r="AX19" s="59">
        <f t="shared" si="49"/>
        <v>53648</v>
      </c>
      <c r="AY19" s="59">
        <f t="shared" si="49"/>
        <v>53648</v>
      </c>
      <c r="AZ19" s="59">
        <f t="shared" si="49"/>
        <v>53648</v>
      </c>
      <c r="BA19" s="59">
        <f t="shared" si="49"/>
        <v>53648</v>
      </c>
      <c r="BB19" s="59">
        <f t="shared" si="49"/>
        <v>53648</v>
      </c>
      <c r="BC19" s="59">
        <f t="shared" si="49"/>
        <v>53648</v>
      </c>
      <c r="BD19" s="59">
        <f t="shared" si="49"/>
        <v>53648</v>
      </c>
      <c r="BE19" s="59">
        <f t="shared" si="49"/>
        <v>53648</v>
      </c>
      <c r="BF19" s="60">
        <f>SUM(AT19:BE19)</f>
        <v>643776</v>
      </c>
      <c r="BG19" s="239">
        <f t="shared" ref="BG19:BR19" si="50">ROUND(BG18*0.15,0)</f>
        <v>55794</v>
      </c>
      <c r="BH19" s="59">
        <f t="shared" si="50"/>
        <v>55794</v>
      </c>
      <c r="BI19" s="59">
        <f t="shared" si="50"/>
        <v>55794</v>
      </c>
      <c r="BJ19" s="59">
        <f t="shared" si="50"/>
        <v>55794</v>
      </c>
      <c r="BK19" s="59">
        <f t="shared" si="50"/>
        <v>55794</v>
      </c>
      <c r="BL19" s="59">
        <f t="shared" si="50"/>
        <v>55794</v>
      </c>
      <c r="BM19" s="59">
        <f t="shared" si="50"/>
        <v>55794</v>
      </c>
      <c r="BN19" s="59">
        <f t="shared" si="50"/>
        <v>55794</v>
      </c>
      <c r="BO19" s="59">
        <f t="shared" si="50"/>
        <v>55794</v>
      </c>
      <c r="BP19" s="59">
        <f t="shared" si="50"/>
        <v>55794</v>
      </c>
      <c r="BQ19" s="59">
        <f t="shared" si="50"/>
        <v>55794</v>
      </c>
      <c r="BR19" s="59">
        <f t="shared" si="50"/>
        <v>55794</v>
      </c>
      <c r="BS19" s="61">
        <f>SUM(BG19:BR19)</f>
        <v>669528</v>
      </c>
    </row>
    <row r="20" spans="1:71" ht="15.75" thickBot="1" x14ac:dyDescent="0.3">
      <c r="A20" s="6" t="s">
        <v>10</v>
      </c>
      <c r="B20" s="20">
        <v>2000000</v>
      </c>
      <c r="F20" s="69" t="s">
        <v>233</v>
      </c>
      <c r="G20" s="70">
        <f>+G18+G19</f>
        <v>121882</v>
      </c>
      <c r="H20" s="70">
        <f t="shared" ref="H20:T20" si="51">+H18+H19</f>
        <v>121882</v>
      </c>
      <c r="I20" s="70">
        <f t="shared" si="51"/>
        <v>121882</v>
      </c>
      <c r="J20" s="70">
        <f t="shared" si="51"/>
        <v>121882</v>
      </c>
      <c r="K20" s="70">
        <f t="shared" si="51"/>
        <v>121882</v>
      </c>
      <c r="L20" s="70">
        <f t="shared" si="51"/>
        <v>121882</v>
      </c>
      <c r="M20" s="70">
        <f t="shared" si="51"/>
        <v>243763</v>
      </c>
      <c r="N20" s="70">
        <f t="shared" si="51"/>
        <v>243763</v>
      </c>
      <c r="O20" s="70">
        <f t="shared" si="51"/>
        <v>243763</v>
      </c>
      <c r="P20" s="70">
        <f t="shared" si="51"/>
        <v>243763</v>
      </c>
      <c r="Q20" s="70">
        <f t="shared" si="51"/>
        <v>243763</v>
      </c>
      <c r="R20" s="70">
        <f t="shared" si="51"/>
        <v>243763</v>
      </c>
      <c r="S20" s="70">
        <f>SUM(G20:R20)</f>
        <v>2193870</v>
      </c>
      <c r="T20" s="70">
        <f t="shared" si="51"/>
        <v>253514</v>
      </c>
      <c r="U20" s="70">
        <f t="shared" ref="U20:AE20" si="52">+U18+U19</f>
        <v>253514</v>
      </c>
      <c r="V20" s="70">
        <f t="shared" si="52"/>
        <v>253514</v>
      </c>
      <c r="W20" s="70">
        <f t="shared" si="52"/>
        <v>253514</v>
      </c>
      <c r="X20" s="70">
        <f t="shared" si="52"/>
        <v>253514</v>
      </c>
      <c r="Y20" s="70">
        <f t="shared" si="52"/>
        <v>253514</v>
      </c>
      <c r="Z20" s="70">
        <f t="shared" si="52"/>
        <v>380271</v>
      </c>
      <c r="AA20" s="70">
        <f t="shared" si="52"/>
        <v>380271</v>
      </c>
      <c r="AB20" s="70">
        <f t="shared" si="52"/>
        <v>380271</v>
      </c>
      <c r="AC20" s="70">
        <f t="shared" si="52"/>
        <v>380271</v>
      </c>
      <c r="AD20" s="70">
        <f t="shared" si="52"/>
        <v>380271</v>
      </c>
      <c r="AE20" s="70">
        <f t="shared" si="52"/>
        <v>380271</v>
      </c>
      <c r="AF20" s="71">
        <f>SUM(T20:AE20)</f>
        <v>3802710</v>
      </c>
      <c r="AG20" s="70">
        <f t="shared" ref="AG20:AR20" si="53">+AG18+AG19</f>
        <v>395482</v>
      </c>
      <c r="AH20" s="70">
        <f t="shared" si="53"/>
        <v>395482</v>
      </c>
      <c r="AI20" s="70">
        <f t="shared" si="53"/>
        <v>395482</v>
      </c>
      <c r="AJ20" s="70">
        <f t="shared" si="53"/>
        <v>395482</v>
      </c>
      <c r="AK20" s="70">
        <f t="shared" si="53"/>
        <v>395482</v>
      </c>
      <c r="AL20" s="70">
        <f t="shared" si="53"/>
        <v>395482</v>
      </c>
      <c r="AM20" s="70">
        <f t="shared" si="53"/>
        <v>395482</v>
      </c>
      <c r="AN20" s="70">
        <f t="shared" si="53"/>
        <v>395482</v>
      </c>
      <c r="AO20" s="70">
        <f t="shared" si="53"/>
        <v>395482</v>
      </c>
      <c r="AP20" s="70">
        <f t="shared" si="53"/>
        <v>395482</v>
      </c>
      <c r="AQ20" s="70">
        <f t="shared" si="53"/>
        <v>395482</v>
      </c>
      <c r="AR20" s="70">
        <f t="shared" si="53"/>
        <v>395482</v>
      </c>
      <c r="AS20" s="71">
        <f>SUM(AG20:AR20)</f>
        <v>4745784</v>
      </c>
      <c r="AT20" s="268">
        <f t="shared" ref="AT20:BE20" si="54">+AT18+AT19</f>
        <v>411300</v>
      </c>
      <c r="AU20" s="70">
        <f t="shared" si="54"/>
        <v>411300</v>
      </c>
      <c r="AV20" s="70">
        <f t="shared" si="54"/>
        <v>411300</v>
      </c>
      <c r="AW20" s="70">
        <f t="shared" si="54"/>
        <v>411300</v>
      </c>
      <c r="AX20" s="70">
        <f t="shared" si="54"/>
        <v>411300</v>
      </c>
      <c r="AY20" s="70">
        <f t="shared" si="54"/>
        <v>411300</v>
      </c>
      <c r="AZ20" s="70">
        <f t="shared" si="54"/>
        <v>411300</v>
      </c>
      <c r="BA20" s="70">
        <f t="shared" si="54"/>
        <v>411300</v>
      </c>
      <c r="BB20" s="70">
        <f t="shared" si="54"/>
        <v>411300</v>
      </c>
      <c r="BC20" s="70">
        <f t="shared" si="54"/>
        <v>411300</v>
      </c>
      <c r="BD20" s="70">
        <f t="shared" si="54"/>
        <v>411300</v>
      </c>
      <c r="BE20" s="70">
        <f t="shared" si="54"/>
        <v>411300</v>
      </c>
      <c r="BF20" s="71">
        <f>SUM(AT20:BE20)</f>
        <v>4935600</v>
      </c>
      <c r="BG20" s="268">
        <f t="shared" ref="BG20:BR20" si="55">+BG18+BG19</f>
        <v>427754</v>
      </c>
      <c r="BH20" s="70">
        <f t="shared" si="55"/>
        <v>427754</v>
      </c>
      <c r="BI20" s="70">
        <f t="shared" si="55"/>
        <v>427754</v>
      </c>
      <c r="BJ20" s="70">
        <f t="shared" si="55"/>
        <v>427754</v>
      </c>
      <c r="BK20" s="70">
        <f t="shared" si="55"/>
        <v>427754</v>
      </c>
      <c r="BL20" s="70">
        <f t="shared" si="55"/>
        <v>427754</v>
      </c>
      <c r="BM20" s="70">
        <f t="shared" si="55"/>
        <v>427754</v>
      </c>
      <c r="BN20" s="70">
        <f t="shared" si="55"/>
        <v>427754</v>
      </c>
      <c r="BO20" s="70">
        <f t="shared" si="55"/>
        <v>427754</v>
      </c>
      <c r="BP20" s="70">
        <f t="shared" si="55"/>
        <v>427754</v>
      </c>
      <c r="BQ20" s="70">
        <f t="shared" si="55"/>
        <v>427754</v>
      </c>
      <c r="BR20" s="70">
        <f t="shared" si="55"/>
        <v>427754</v>
      </c>
      <c r="BS20" s="72">
        <f>SUM(BG20:BR20)</f>
        <v>5133048</v>
      </c>
    </row>
    <row r="21" spans="1:71" ht="15.75" thickBot="1" x14ac:dyDescent="0.3">
      <c r="A21" s="6" t="s">
        <v>58</v>
      </c>
      <c r="B21" s="20">
        <v>3500000</v>
      </c>
    </row>
    <row r="22" spans="1:71" ht="15.75" thickBot="1" x14ac:dyDescent="0.3">
      <c r="A22" s="6"/>
      <c r="B22" s="20"/>
    </row>
    <row r="23" spans="1:71" ht="15.75" thickBot="1" x14ac:dyDescent="0.3">
      <c r="A23" s="6" t="s">
        <v>11</v>
      </c>
      <c r="B23" s="20"/>
    </row>
    <row r="24" spans="1:71" ht="15.75" thickBot="1" x14ac:dyDescent="0.3">
      <c r="A24" s="6"/>
      <c r="B24" s="20"/>
    </row>
    <row r="25" spans="1:71" ht="15.75" thickBot="1" x14ac:dyDescent="0.3">
      <c r="A25" s="6" t="s">
        <v>12</v>
      </c>
      <c r="B25" s="20">
        <v>200000</v>
      </c>
    </row>
    <row r="26" spans="1:71" ht="15.75" thickBot="1" x14ac:dyDescent="0.3">
      <c r="A26" s="6" t="s">
        <v>13</v>
      </c>
      <c r="B26" s="20">
        <v>150000</v>
      </c>
    </row>
    <row r="27" spans="1:71" ht="15.75" thickBot="1" x14ac:dyDescent="0.3">
      <c r="A27" s="6" t="s">
        <v>14</v>
      </c>
      <c r="B27" s="20">
        <v>200000</v>
      </c>
    </row>
    <row r="28" spans="1:71" ht="15.75" thickBot="1" x14ac:dyDescent="0.3">
      <c r="A28" s="6" t="s">
        <v>15</v>
      </c>
      <c r="B28" s="20">
        <v>500000</v>
      </c>
    </row>
    <row r="29" spans="1:71" ht="15.75" thickBot="1" x14ac:dyDescent="0.3">
      <c r="A29" s="6" t="s">
        <v>16</v>
      </c>
      <c r="B29" s="20">
        <v>40000</v>
      </c>
    </row>
    <row r="30" spans="1:71" ht="15.75" thickBot="1" x14ac:dyDescent="0.3">
      <c r="A30" s="6" t="s">
        <v>59</v>
      </c>
      <c r="B30" s="20"/>
    </row>
    <row r="31" spans="1:71" ht="15.75" thickBot="1" x14ac:dyDescent="0.3">
      <c r="A31" s="6" t="s">
        <v>60</v>
      </c>
      <c r="B31" s="21">
        <v>100000</v>
      </c>
    </row>
    <row r="32" spans="1:71" ht="15.75" thickBot="1" x14ac:dyDescent="0.3">
      <c r="A32" s="6" t="s">
        <v>17</v>
      </c>
      <c r="B32" s="20">
        <v>180000</v>
      </c>
      <c r="C32">
        <f>+B32/30</f>
        <v>6000</v>
      </c>
    </row>
    <row r="33" spans="1:2" ht="15.75" thickBot="1" x14ac:dyDescent="0.3">
      <c r="A33" s="6" t="s">
        <v>18</v>
      </c>
      <c r="B33" s="22"/>
    </row>
    <row r="34" spans="1:2" ht="15.75" thickBot="1" x14ac:dyDescent="0.3">
      <c r="A34" s="3" t="s">
        <v>19</v>
      </c>
      <c r="B34" s="20"/>
    </row>
    <row r="35" spans="1:2" ht="15.75" thickBot="1" x14ac:dyDescent="0.3">
      <c r="A35" s="7"/>
      <c r="B35" s="20"/>
    </row>
    <row r="36" spans="1:2" ht="15.75" thickBot="1" x14ac:dyDescent="0.3">
      <c r="A36" s="8" t="s">
        <v>20</v>
      </c>
      <c r="B36" s="22"/>
    </row>
    <row r="37" spans="1:2" ht="15.75" thickBot="1" x14ac:dyDescent="0.3">
      <c r="A37" s="6" t="s">
        <v>21</v>
      </c>
      <c r="B37" s="22"/>
    </row>
    <row r="38" spans="1:2" ht="24.75" customHeight="1" thickBot="1" x14ac:dyDescent="0.3">
      <c r="A38" s="6" t="s">
        <v>22</v>
      </c>
      <c r="B38" s="23" t="s">
        <v>61</v>
      </c>
    </row>
    <row r="39" spans="1:2" ht="15.75" thickBot="1" x14ac:dyDescent="0.3">
      <c r="A39" s="3" t="s">
        <v>23</v>
      </c>
      <c r="B39" s="20"/>
    </row>
    <row r="40" spans="1:2" ht="15.75" thickBot="1" x14ac:dyDescent="0.3">
      <c r="A40" s="7"/>
      <c r="B40" s="20"/>
    </row>
    <row r="41" spans="1:2" ht="15.75" thickBot="1" x14ac:dyDescent="0.3">
      <c r="A41" s="8" t="s">
        <v>24</v>
      </c>
      <c r="B41" s="20"/>
    </row>
    <row r="42" spans="1:2" ht="15.75" thickBot="1" x14ac:dyDescent="0.3">
      <c r="A42" s="6" t="s">
        <v>25</v>
      </c>
      <c r="B42" s="20"/>
    </row>
  </sheetData>
  <mergeCells count="1">
    <mergeCell ref="F2:BS2"/>
  </mergeCells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41"/>
  <sheetViews>
    <sheetView workbookViewId="0">
      <pane xSplit="3" ySplit="4" topLeftCell="M24" activePane="bottomRight" state="frozen"/>
      <selection pane="topRight" activeCell="D1" sqref="D1"/>
      <selection pane="bottomLeft" activeCell="A3" sqref="A3"/>
      <selection pane="bottomRight" activeCell="BP5" sqref="BP5"/>
    </sheetView>
  </sheetViews>
  <sheetFormatPr baseColWidth="10" defaultColWidth="9.140625" defaultRowHeight="15" outlineLevelCol="1" x14ac:dyDescent="0.25"/>
  <cols>
    <col min="1" max="1" width="12.28515625" customWidth="1"/>
    <col min="2" max="2" width="30.85546875" customWidth="1"/>
    <col min="3" max="3" width="9" bestFit="1" customWidth="1"/>
    <col min="4" max="15" width="12.7109375" hidden="1" customWidth="1" outlineLevel="1"/>
    <col min="16" max="16" width="13.85546875" bestFit="1" customWidth="1" collapsed="1"/>
    <col min="17" max="28" width="12.7109375" hidden="1" customWidth="1" outlineLevel="1"/>
    <col min="29" max="29" width="13.85546875" bestFit="1" customWidth="1" collapsed="1"/>
    <col min="30" max="41" width="12.7109375" hidden="1" customWidth="1" outlineLevel="1"/>
    <col min="42" max="42" width="13.85546875" bestFit="1" customWidth="1" collapsed="1"/>
    <col min="43" max="54" width="12.7109375" hidden="1" customWidth="1" outlineLevel="1"/>
    <col min="55" max="55" width="13.85546875" bestFit="1" customWidth="1" collapsed="1"/>
    <col min="56" max="67" width="12.7109375" hidden="1" customWidth="1" outlineLevel="1"/>
    <col min="68" max="68" width="13.85546875" bestFit="1" customWidth="1" collapsed="1"/>
  </cols>
  <sheetData>
    <row r="2" spans="1:68" ht="31.5" x14ac:dyDescent="0.25">
      <c r="A2" s="367" t="s">
        <v>282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  <c r="BL2" s="367"/>
      <c r="BM2" s="367"/>
      <c r="BN2" s="367"/>
      <c r="BO2" s="367"/>
      <c r="BP2" s="367"/>
    </row>
    <row r="3" spans="1:68" ht="15.75" thickBot="1" x14ac:dyDescent="0.3"/>
    <row r="4" spans="1:68" ht="15.75" customHeight="1" thickBot="1" x14ac:dyDescent="0.3">
      <c r="A4" s="188" t="s">
        <v>283</v>
      </c>
      <c r="B4" s="189" t="s">
        <v>284</v>
      </c>
      <c r="C4" s="190" t="s">
        <v>82</v>
      </c>
      <c r="D4" s="191">
        <v>1</v>
      </c>
      <c r="E4" s="192">
        <f>+D4+1</f>
        <v>2</v>
      </c>
      <c r="F4" s="192">
        <f t="shared" ref="F4:O4" si="0">+E4+1</f>
        <v>3</v>
      </c>
      <c r="G4" s="192">
        <f t="shared" si="0"/>
        <v>4</v>
      </c>
      <c r="H4" s="192">
        <f t="shared" si="0"/>
        <v>5</v>
      </c>
      <c r="I4" s="192">
        <f t="shared" si="0"/>
        <v>6</v>
      </c>
      <c r="J4" s="192">
        <f t="shared" si="0"/>
        <v>7</v>
      </c>
      <c r="K4" s="192">
        <f t="shared" si="0"/>
        <v>8</v>
      </c>
      <c r="L4" s="192">
        <f t="shared" si="0"/>
        <v>9</v>
      </c>
      <c r="M4" s="192">
        <f t="shared" si="0"/>
        <v>10</v>
      </c>
      <c r="N4" s="192">
        <f t="shared" si="0"/>
        <v>11</v>
      </c>
      <c r="O4" s="192">
        <f t="shared" si="0"/>
        <v>12</v>
      </c>
      <c r="P4" s="191" t="s">
        <v>97</v>
      </c>
      <c r="Q4" s="191">
        <f>+O4+1</f>
        <v>13</v>
      </c>
      <c r="R4" s="191">
        <f>+Q4+1</f>
        <v>14</v>
      </c>
      <c r="S4" s="191">
        <f t="shared" ref="S4:AB4" si="1">+R4+1</f>
        <v>15</v>
      </c>
      <c r="T4" s="191">
        <f t="shared" si="1"/>
        <v>16</v>
      </c>
      <c r="U4" s="191">
        <f t="shared" si="1"/>
        <v>17</v>
      </c>
      <c r="V4" s="191">
        <f t="shared" si="1"/>
        <v>18</v>
      </c>
      <c r="W4" s="191">
        <f t="shared" si="1"/>
        <v>19</v>
      </c>
      <c r="X4" s="191">
        <f t="shared" si="1"/>
        <v>20</v>
      </c>
      <c r="Y4" s="191">
        <f t="shared" si="1"/>
        <v>21</v>
      </c>
      <c r="Z4" s="191">
        <f t="shared" si="1"/>
        <v>22</v>
      </c>
      <c r="AA4" s="191">
        <f t="shared" si="1"/>
        <v>23</v>
      </c>
      <c r="AB4" s="191">
        <f t="shared" si="1"/>
        <v>24</v>
      </c>
      <c r="AC4" s="192" t="s">
        <v>98</v>
      </c>
      <c r="AD4" s="191">
        <f>+AB4+1</f>
        <v>25</v>
      </c>
      <c r="AE4" s="191">
        <f>+AD4+1</f>
        <v>26</v>
      </c>
      <c r="AF4" s="191">
        <f t="shared" ref="AF4:AO4" si="2">+AE4+1</f>
        <v>27</v>
      </c>
      <c r="AG4" s="191">
        <f t="shared" si="2"/>
        <v>28</v>
      </c>
      <c r="AH4" s="191">
        <f t="shared" si="2"/>
        <v>29</v>
      </c>
      <c r="AI4" s="191">
        <f t="shared" si="2"/>
        <v>30</v>
      </c>
      <c r="AJ4" s="191">
        <f t="shared" si="2"/>
        <v>31</v>
      </c>
      <c r="AK4" s="191">
        <f t="shared" si="2"/>
        <v>32</v>
      </c>
      <c r="AL4" s="191">
        <f t="shared" si="2"/>
        <v>33</v>
      </c>
      <c r="AM4" s="191">
        <f t="shared" si="2"/>
        <v>34</v>
      </c>
      <c r="AN4" s="191">
        <f t="shared" si="2"/>
        <v>35</v>
      </c>
      <c r="AO4" s="191">
        <f t="shared" si="2"/>
        <v>36</v>
      </c>
      <c r="AP4" s="192" t="s">
        <v>99</v>
      </c>
      <c r="AQ4" s="233">
        <f>+AO4+1</f>
        <v>37</v>
      </c>
      <c r="AR4" s="191">
        <f t="shared" ref="AR4:BB4" si="3">+AQ4+1</f>
        <v>38</v>
      </c>
      <c r="AS4" s="191">
        <f t="shared" si="3"/>
        <v>39</v>
      </c>
      <c r="AT4" s="191">
        <f t="shared" si="3"/>
        <v>40</v>
      </c>
      <c r="AU4" s="191">
        <f t="shared" si="3"/>
        <v>41</v>
      </c>
      <c r="AV4" s="191">
        <f t="shared" si="3"/>
        <v>42</v>
      </c>
      <c r="AW4" s="191">
        <f t="shared" si="3"/>
        <v>43</v>
      </c>
      <c r="AX4" s="191">
        <f t="shared" si="3"/>
        <v>44</v>
      </c>
      <c r="AY4" s="191">
        <f t="shared" si="3"/>
        <v>45</v>
      </c>
      <c r="AZ4" s="191">
        <f t="shared" si="3"/>
        <v>46</v>
      </c>
      <c r="BA4" s="191">
        <f t="shared" si="3"/>
        <v>47</v>
      </c>
      <c r="BB4" s="191">
        <f t="shared" si="3"/>
        <v>48</v>
      </c>
      <c r="BC4" s="192" t="s">
        <v>294</v>
      </c>
      <c r="BD4" s="233">
        <f>+BB4+1</f>
        <v>49</v>
      </c>
      <c r="BE4" s="191">
        <f t="shared" ref="BE4:BO4" si="4">+BD4+1</f>
        <v>50</v>
      </c>
      <c r="BF4" s="191">
        <f t="shared" si="4"/>
        <v>51</v>
      </c>
      <c r="BG4" s="191">
        <f t="shared" si="4"/>
        <v>52</v>
      </c>
      <c r="BH4" s="191">
        <f t="shared" si="4"/>
        <v>53</v>
      </c>
      <c r="BI4" s="191">
        <f t="shared" si="4"/>
        <v>54</v>
      </c>
      <c r="BJ4" s="191">
        <f t="shared" si="4"/>
        <v>55</v>
      </c>
      <c r="BK4" s="191">
        <f t="shared" si="4"/>
        <v>56</v>
      </c>
      <c r="BL4" s="191">
        <f t="shared" si="4"/>
        <v>57</v>
      </c>
      <c r="BM4" s="191">
        <f t="shared" si="4"/>
        <v>58</v>
      </c>
      <c r="BN4" s="191">
        <f t="shared" si="4"/>
        <v>59</v>
      </c>
      <c r="BO4" s="191">
        <f t="shared" si="4"/>
        <v>60</v>
      </c>
      <c r="BP4" s="193" t="s">
        <v>295</v>
      </c>
    </row>
    <row r="5" spans="1:68" ht="15" customHeight="1" x14ac:dyDescent="0.25">
      <c r="A5" s="370" t="s">
        <v>204</v>
      </c>
      <c r="B5" s="135" t="s">
        <v>136</v>
      </c>
      <c r="C5" s="136">
        <v>0</v>
      </c>
      <c r="D5" s="128">
        <v>4000000</v>
      </c>
      <c r="E5" s="128">
        <f>+D5</f>
        <v>4000000</v>
      </c>
      <c r="F5" s="128">
        <f t="shared" ref="F5:K8" si="5">+E5</f>
        <v>4000000</v>
      </c>
      <c r="G5" s="128">
        <f t="shared" si="5"/>
        <v>4000000</v>
      </c>
      <c r="H5" s="128">
        <f t="shared" si="5"/>
        <v>4000000</v>
      </c>
      <c r="I5" s="128">
        <f t="shared" si="5"/>
        <v>4000000</v>
      </c>
      <c r="J5" s="128">
        <f t="shared" si="5"/>
        <v>4000000</v>
      </c>
      <c r="K5" s="128">
        <f t="shared" si="5"/>
        <v>4000000</v>
      </c>
      <c r="L5" s="128">
        <f t="shared" ref="L5:O8" si="6">+K5</f>
        <v>4000000</v>
      </c>
      <c r="M5" s="128">
        <f t="shared" si="6"/>
        <v>4000000</v>
      </c>
      <c r="N5" s="128">
        <f t="shared" si="6"/>
        <v>4000000</v>
      </c>
      <c r="O5" s="128">
        <f t="shared" si="6"/>
        <v>4000000</v>
      </c>
      <c r="P5" s="128">
        <f>SUM(D5:O5)</f>
        <v>48000000</v>
      </c>
      <c r="Q5" s="137">
        <v>5000000</v>
      </c>
      <c r="R5" s="137">
        <f>+Q5</f>
        <v>5000000</v>
      </c>
      <c r="S5" s="137">
        <f t="shared" ref="S5:AB8" si="7">+R5</f>
        <v>5000000</v>
      </c>
      <c r="T5" s="137">
        <f t="shared" si="7"/>
        <v>5000000</v>
      </c>
      <c r="U5" s="137">
        <f t="shared" si="7"/>
        <v>5000000</v>
      </c>
      <c r="V5" s="137">
        <f t="shared" si="7"/>
        <v>5000000</v>
      </c>
      <c r="W5" s="137">
        <f t="shared" si="7"/>
        <v>5000000</v>
      </c>
      <c r="X5" s="137">
        <f t="shared" si="7"/>
        <v>5000000</v>
      </c>
      <c r="Y5" s="137">
        <f t="shared" si="7"/>
        <v>5000000</v>
      </c>
      <c r="Z5" s="137">
        <f t="shared" si="7"/>
        <v>5000000</v>
      </c>
      <c r="AA5" s="137">
        <f t="shared" si="7"/>
        <v>5000000</v>
      </c>
      <c r="AB5" s="137">
        <f t="shared" si="7"/>
        <v>5000000</v>
      </c>
      <c r="AC5" s="128">
        <f>SUM(Q5:AB5)</f>
        <v>60000000</v>
      </c>
      <c r="AD5" s="137">
        <v>6000000</v>
      </c>
      <c r="AE5" s="137">
        <f>+AD5</f>
        <v>6000000</v>
      </c>
      <c r="AF5" s="137">
        <f t="shared" ref="AF5:AO8" si="8">+AE5</f>
        <v>6000000</v>
      </c>
      <c r="AG5" s="137">
        <f t="shared" si="8"/>
        <v>6000000</v>
      </c>
      <c r="AH5" s="137">
        <f t="shared" si="8"/>
        <v>6000000</v>
      </c>
      <c r="AI5" s="137">
        <f t="shared" si="8"/>
        <v>6000000</v>
      </c>
      <c r="AJ5" s="137">
        <f t="shared" si="8"/>
        <v>6000000</v>
      </c>
      <c r="AK5" s="137">
        <f t="shared" si="8"/>
        <v>6000000</v>
      </c>
      <c r="AL5" s="137">
        <f t="shared" si="8"/>
        <v>6000000</v>
      </c>
      <c r="AM5" s="137">
        <f t="shared" si="8"/>
        <v>6000000</v>
      </c>
      <c r="AN5" s="137">
        <f t="shared" si="8"/>
        <v>6000000</v>
      </c>
      <c r="AO5" s="137">
        <f t="shared" si="8"/>
        <v>6000000</v>
      </c>
      <c r="AP5" s="128">
        <f>SUM(AD5:AO5)</f>
        <v>72000000</v>
      </c>
      <c r="AQ5" s="234">
        <v>6500000</v>
      </c>
      <c r="AR5" s="137">
        <f t="shared" ref="AR5:BB5" si="9">+AQ5</f>
        <v>6500000</v>
      </c>
      <c r="AS5" s="137">
        <f t="shared" si="9"/>
        <v>6500000</v>
      </c>
      <c r="AT5" s="137">
        <f t="shared" si="9"/>
        <v>6500000</v>
      </c>
      <c r="AU5" s="137">
        <f t="shared" si="9"/>
        <v>6500000</v>
      </c>
      <c r="AV5" s="137">
        <f t="shared" si="9"/>
        <v>6500000</v>
      </c>
      <c r="AW5" s="137">
        <f t="shared" si="9"/>
        <v>6500000</v>
      </c>
      <c r="AX5" s="137">
        <f t="shared" si="9"/>
        <v>6500000</v>
      </c>
      <c r="AY5" s="137">
        <f t="shared" si="9"/>
        <v>6500000</v>
      </c>
      <c r="AZ5" s="137">
        <f t="shared" si="9"/>
        <v>6500000</v>
      </c>
      <c r="BA5" s="137">
        <f t="shared" si="9"/>
        <v>6500000</v>
      </c>
      <c r="BB5" s="137">
        <f t="shared" si="9"/>
        <v>6500000</v>
      </c>
      <c r="BC5" s="128">
        <f>SUM(AQ5:BB5)</f>
        <v>78000000</v>
      </c>
      <c r="BD5" s="234">
        <v>7000000</v>
      </c>
      <c r="BE5" s="137">
        <f t="shared" ref="BE5:BO5" si="10">+BD5</f>
        <v>7000000</v>
      </c>
      <c r="BF5" s="137">
        <f t="shared" si="10"/>
        <v>7000000</v>
      </c>
      <c r="BG5" s="137">
        <f t="shared" si="10"/>
        <v>7000000</v>
      </c>
      <c r="BH5" s="137">
        <f t="shared" si="10"/>
        <v>7000000</v>
      </c>
      <c r="BI5" s="137">
        <f t="shared" si="10"/>
        <v>7000000</v>
      </c>
      <c r="BJ5" s="137">
        <f t="shared" si="10"/>
        <v>7000000</v>
      </c>
      <c r="BK5" s="137">
        <f t="shared" si="10"/>
        <v>7000000</v>
      </c>
      <c r="BL5" s="137">
        <f t="shared" si="10"/>
        <v>7000000</v>
      </c>
      <c r="BM5" s="137">
        <f t="shared" si="10"/>
        <v>7000000</v>
      </c>
      <c r="BN5" s="137">
        <f t="shared" si="10"/>
        <v>7000000</v>
      </c>
      <c r="BO5" s="137">
        <f t="shared" si="10"/>
        <v>7000000</v>
      </c>
      <c r="BP5" s="129">
        <f>SUM(BD5:BO5)</f>
        <v>84000000</v>
      </c>
    </row>
    <row r="6" spans="1:68" x14ac:dyDescent="0.25">
      <c r="A6" s="371"/>
      <c r="B6" s="73" t="s">
        <v>137</v>
      </c>
      <c r="C6" s="95">
        <v>0</v>
      </c>
      <c r="D6" s="59">
        <v>600000</v>
      </c>
      <c r="E6" s="59">
        <f>+D6</f>
        <v>600000</v>
      </c>
      <c r="F6" s="59">
        <f t="shared" si="5"/>
        <v>600000</v>
      </c>
      <c r="G6" s="59">
        <f t="shared" si="5"/>
        <v>600000</v>
      </c>
      <c r="H6" s="59">
        <f t="shared" si="5"/>
        <v>600000</v>
      </c>
      <c r="I6" s="59">
        <f t="shared" si="5"/>
        <v>600000</v>
      </c>
      <c r="J6" s="59">
        <f t="shared" si="5"/>
        <v>600000</v>
      </c>
      <c r="K6" s="59">
        <f t="shared" si="5"/>
        <v>600000</v>
      </c>
      <c r="L6" s="59">
        <f t="shared" si="6"/>
        <v>600000</v>
      </c>
      <c r="M6" s="59">
        <f t="shared" si="6"/>
        <v>600000</v>
      </c>
      <c r="N6" s="59">
        <f t="shared" si="6"/>
        <v>600000</v>
      </c>
      <c r="O6" s="59">
        <f t="shared" si="6"/>
        <v>600000</v>
      </c>
      <c r="P6" s="59">
        <f>SUM(D6:O6)</f>
        <v>7200000</v>
      </c>
      <c r="Q6" s="89">
        <v>700000</v>
      </c>
      <c r="R6" s="89">
        <f>+Q6</f>
        <v>700000</v>
      </c>
      <c r="S6" s="89">
        <f t="shared" si="7"/>
        <v>700000</v>
      </c>
      <c r="T6" s="89">
        <f t="shared" si="7"/>
        <v>700000</v>
      </c>
      <c r="U6" s="89">
        <f t="shared" si="7"/>
        <v>700000</v>
      </c>
      <c r="V6" s="89">
        <f t="shared" si="7"/>
        <v>700000</v>
      </c>
      <c r="W6" s="89">
        <f t="shared" si="7"/>
        <v>700000</v>
      </c>
      <c r="X6" s="89">
        <f t="shared" si="7"/>
        <v>700000</v>
      </c>
      <c r="Y6" s="89">
        <f t="shared" si="7"/>
        <v>700000</v>
      </c>
      <c r="Z6" s="89">
        <f t="shared" si="7"/>
        <v>700000</v>
      </c>
      <c r="AA6" s="89">
        <f t="shared" si="7"/>
        <v>700000</v>
      </c>
      <c r="AB6" s="89">
        <f t="shared" si="7"/>
        <v>700000</v>
      </c>
      <c r="AC6" s="59">
        <f>SUM(Q6:AB6)</f>
        <v>8400000</v>
      </c>
      <c r="AD6" s="89">
        <v>750000</v>
      </c>
      <c r="AE6" s="89">
        <f>+AD6</f>
        <v>750000</v>
      </c>
      <c r="AF6" s="89">
        <f t="shared" si="8"/>
        <v>750000</v>
      </c>
      <c r="AG6" s="89">
        <f t="shared" si="8"/>
        <v>750000</v>
      </c>
      <c r="AH6" s="89">
        <f t="shared" si="8"/>
        <v>750000</v>
      </c>
      <c r="AI6" s="89">
        <f t="shared" si="8"/>
        <v>750000</v>
      </c>
      <c r="AJ6" s="89">
        <f t="shared" si="8"/>
        <v>750000</v>
      </c>
      <c r="AK6" s="89">
        <f t="shared" si="8"/>
        <v>750000</v>
      </c>
      <c r="AL6" s="89">
        <f t="shared" si="8"/>
        <v>750000</v>
      </c>
      <c r="AM6" s="89">
        <f t="shared" si="8"/>
        <v>750000</v>
      </c>
      <c r="AN6" s="89">
        <f t="shared" si="8"/>
        <v>750000</v>
      </c>
      <c r="AO6" s="89">
        <f t="shared" si="8"/>
        <v>750000</v>
      </c>
      <c r="AP6" s="59">
        <f>SUM(AD6:AO6)</f>
        <v>9000000</v>
      </c>
      <c r="AQ6" s="235">
        <v>750000</v>
      </c>
      <c r="AR6" s="89">
        <f t="shared" ref="AR6:BB6" si="11">+AQ6</f>
        <v>750000</v>
      </c>
      <c r="AS6" s="89">
        <f t="shared" si="11"/>
        <v>750000</v>
      </c>
      <c r="AT6" s="89">
        <f t="shared" si="11"/>
        <v>750000</v>
      </c>
      <c r="AU6" s="89">
        <f t="shared" si="11"/>
        <v>750000</v>
      </c>
      <c r="AV6" s="89">
        <f t="shared" si="11"/>
        <v>750000</v>
      </c>
      <c r="AW6" s="89">
        <f t="shared" si="11"/>
        <v>750000</v>
      </c>
      <c r="AX6" s="89">
        <f t="shared" si="11"/>
        <v>750000</v>
      </c>
      <c r="AY6" s="89">
        <f t="shared" si="11"/>
        <v>750000</v>
      </c>
      <c r="AZ6" s="89">
        <f t="shared" si="11"/>
        <v>750000</v>
      </c>
      <c r="BA6" s="89">
        <f t="shared" si="11"/>
        <v>750000</v>
      </c>
      <c r="BB6" s="89">
        <f t="shared" si="11"/>
        <v>750000</v>
      </c>
      <c r="BC6" s="59">
        <f>SUM(AQ6:BB6)</f>
        <v>9000000</v>
      </c>
      <c r="BD6" s="235">
        <v>750000</v>
      </c>
      <c r="BE6" s="89">
        <f t="shared" ref="BE6:BO6" si="12">+BD6</f>
        <v>750000</v>
      </c>
      <c r="BF6" s="89">
        <f t="shared" si="12"/>
        <v>750000</v>
      </c>
      <c r="BG6" s="89">
        <f t="shared" si="12"/>
        <v>750000</v>
      </c>
      <c r="BH6" s="89">
        <f t="shared" si="12"/>
        <v>750000</v>
      </c>
      <c r="BI6" s="89">
        <f t="shared" si="12"/>
        <v>750000</v>
      </c>
      <c r="BJ6" s="89">
        <f t="shared" si="12"/>
        <v>750000</v>
      </c>
      <c r="BK6" s="89">
        <f t="shared" si="12"/>
        <v>750000</v>
      </c>
      <c r="BL6" s="89">
        <f t="shared" si="12"/>
        <v>750000</v>
      </c>
      <c r="BM6" s="89">
        <f t="shared" si="12"/>
        <v>750000</v>
      </c>
      <c r="BN6" s="89">
        <f t="shared" si="12"/>
        <v>750000</v>
      </c>
      <c r="BO6" s="89">
        <f t="shared" si="12"/>
        <v>750000</v>
      </c>
      <c r="BP6" s="90">
        <f>SUM(BD6:BO6)</f>
        <v>9000000</v>
      </c>
    </row>
    <row r="7" spans="1:68" x14ac:dyDescent="0.25">
      <c r="A7" s="371"/>
      <c r="B7" s="73" t="s">
        <v>135</v>
      </c>
      <c r="C7" s="95">
        <v>0</v>
      </c>
      <c r="D7" s="59">
        <v>800000</v>
      </c>
      <c r="E7" s="59">
        <f>+D7</f>
        <v>800000</v>
      </c>
      <c r="F7" s="59">
        <f t="shared" ref="F7:K7" si="13">+E7</f>
        <v>800000</v>
      </c>
      <c r="G7" s="59">
        <f t="shared" si="13"/>
        <v>800000</v>
      </c>
      <c r="H7" s="59">
        <f t="shared" si="13"/>
        <v>800000</v>
      </c>
      <c r="I7" s="59">
        <f t="shared" si="13"/>
        <v>800000</v>
      </c>
      <c r="J7" s="59">
        <f t="shared" si="13"/>
        <v>800000</v>
      </c>
      <c r="K7" s="59">
        <f t="shared" si="13"/>
        <v>800000</v>
      </c>
      <c r="L7" s="59">
        <f t="shared" si="6"/>
        <v>800000</v>
      </c>
      <c r="M7" s="59">
        <f t="shared" si="6"/>
        <v>800000</v>
      </c>
      <c r="N7" s="59">
        <f t="shared" si="6"/>
        <v>800000</v>
      </c>
      <c r="O7" s="59">
        <f t="shared" si="6"/>
        <v>800000</v>
      </c>
      <c r="P7" s="59">
        <f>SUM(D7:O7)</f>
        <v>9600000</v>
      </c>
      <c r="Q7" s="89">
        <v>1000000</v>
      </c>
      <c r="R7" s="89">
        <f>+Q7</f>
        <v>1000000</v>
      </c>
      <c r="S7" s="89">
        <f t="shared" ref="S7:AB7" si="14">+R7</f>
        <v>1000000</v>
      </c>
      <c r="T7" s="89">
        <f t="shared" si="14"/>
        <v>1000000</v>
      </c>
      <c r="U7" s="89">
        <f t="shared" si="14"/>
        <v>1000000</v>
      </c>
      <c r="V7" s="89">
        <f t="shared" si="14"/>
        <v>1000000</v>
      </c>
      <c r="W7" s="89">
        <f t="shared" si="14"/>
        <v>1000000</v>
      </c>
      <c r="X7" s="89">
        <f t="shared" si="14"/>
        <v>1000000</v>
      </c>
      <c r="Y7" s="89">
        <f t="shared" si="14"/>
        <v>1000000</v>
      </c>
      <c r="Z7" s="89">
        <f t="shared" si="14"/>
        <v>1000000</v>
      </c>
      <c r="AA7" s="89">
        <f t="shared" si="14"/>
        <v>1000000</v>
      </c>
      <c r="AB7" s="89">
        <f t="shared" si="14"/>
        <v>1000000</v>
      </c>
      <c r="AC7" s="59">
        <f>SUM(Q7:AB7)</f>
        <v>12000000</v>
      </c>
      <c r="AD7" s="89">
        <v>1200000</v>
      </c>
      <c r="AE7" s="89">
        <f>+AD7</f>
        <v>1200000</v>
      </c>
      <c r="AF7" s="89">
        <f t="shared" ref="AF7:AO7" si="15">+AE7</f>
        <v>1200000</v>
      </c>
      <c r="AG7" s="89">
        <f t="shared" si="15"/>
        <v>1200000</v>
      </c>
      <c r="AH7" s="89">
        <f t="shared" si="15"/>
        <v>1200000</v>
      </c>
      <c r="AI7" s="89">
        <f t="shared" si="15"/>
        <v>1200000</v>
      </c>
      <c r="AJ7" s="89">
        <f t="shared" si="15"/>
        <v>1200000</v>
      </c>
      <c r="AK7" s="89">
        <f t="shared" si="15"/>
        <v>1200000</v>
      </c>
      <c r="AL7" s="89">
        <f t="shared" si="15"/>
        <v>1200000</v>
      </c>
      <c r="AM7" s="89">
        <f t="shared" si="15"/>
        <v>1200000</v>
      </c>
      <c r="AN7" s="89">
        <f t="shared" si="15"/>
        <v>1200000</v>
      </c>
      <c r="AO7" s="89">
        <f t="shared" si="15"/>
        <v>1200000</v>
      </c>
      <c r="AP7" s="59">
        <f>SUM(AD7:AO7)</f>
        <v>14400000</v>
      </c>
      <c r="AQ7" s="235">
        <v>1200000</v>
      </c>
      <c r="AR7" s="89">
        <f t="shared" ref="AR7:BB7" si="16">+AQ7</f>
        <v>1200000</v>
      </c>
      <c r="AS7" s="89">
        <f t="shared" si="16"/>
        <v>1200000</v>
      </c>
      <c r="AT7" s="89">
        <f t="shared" si="16"/>
        <v>1200000</v>
      </c>
      <c r="AU7" s="89">
        <f t="shared" si="16"/>
        <v>1200000</v>
      </c>
      <c r="AV7" s="89">
        <f t="shared" si="16"/>
        <v>1200000</v>
      </c>
      <c r="AW7" s="89">
        <f t="shared" si="16"/>
        <v>1200000</v>
      </c>
      <c r="AX7" s="89">
        <f t="shared" si="16"/>
        <v>1200000</v>
      </c>
      <c r="AY7" s="89">
        <f t="shared" si="16"/>
        <v>1200000</v>
      </c>
      <c r="AZ7" s="89">
        <f t="shared" si="16"/>
        <v>1200000</v>
      </c>
      <c r="BA7" s="89">
        <f t="shared" si="16"/>
        <v>1200000</v>
      </c>
      <c r="BB7" s="89">
        <f t="shared" si="16"/>
        <v>1200000</v>
      </c>
      <c r="BC7" s="59">
        <f>SUM(AQ7:BB7)</f>
        <v>14400000</v>
      </c>
      <c r="BD7" s="235">
        <v>1200000</v>
      </c>
      <c r="BE7" s="89">
        <f t="shared" ref="BE7:BO7" si="17">+BD7</f>
        <v>1200000</v>
      </c>
      <c r="BF7" s="89">
        <f t="shared" si="17"/>
        <v>1200000</v>
      </c>
      <c r="BG7" s="89">
        <f t="shared" si="17"/>
        <v>1200000</v>
      </c>
      <c r="BH7" s="89">
        <f t="shared" si="17"/>
        <v>1200000</v>
      </c>
      <c r="BI7" s="89">
        <f t="shared" si="17"/>
        <v>1200000</v>
      </c>
      <c r="BJ7" s="89">
        <f t="shared" si="17"/>
        <v>1200000</v>
      </c>
      <c r="BK7" s="89">
        <f t="shared" si="17"/>
        <v>1200000</v>
      </c>
      <c r="BL7" s="89">
        <f t="shared" si="17"/>
        <v>1200000</v>
      </c>
      <c r="BM7" s="89">
        <f t="shared" si="17"/>
        <v>1200000</v>
      </c>
      <c r="BN7" s="89">
        <f t="shared" si="17"/>
        <v>1200000</v>
      </c>
      <c r="BO7" s="89">
        <f t="shared" si="17"/>
        <v>1200000</v>
      </c>
      <c r="BP7" s="90">
        <f>SUM(BD7:BO7)</f>
        <v>14400000</v>
      </c>
    </row>
    <row r="8" spans="1:68" x14ac:dyDescent="0.25">
      <c r="A8" s="371"/>
      <c r="B8" s="73" t="s">
        <v>237</v>
      </c>
      <c r="C8" s="95">
        <v>0</v>
      </c>
      <c r="D8" s="59">
        <v>566700</v>
      </c>
      <c r="E8" s="59">
        <f>+D8</f>
        <v>566700</v>
      </c>
      <c r="F8" s="59">
        <f t="shared" si="5"/>
        <v>566700</v>
      </c>
      <c r="G8" s="59">
        <f t="shared" si="5"/>
        <v>566700</v>
      </c>
      <c r="H8" s="59">
        <f t="shared" si="5"/>
        <v>566700</v>
      </c>
      <c r="I8" s="59">
        <f t="shared" si="5"/>
        <v>566700</v>
      </c>
      <c r="J8" s="59">
        <f t="shared" si="5"/>
        <v>566700</v>
      </c>
      <c r="K8" s="59">
        <f t="shared" si="5"/>
        <v>566700</v>
      </c>
      <c r="L8" s="59">
        <f t="shared" si="6"/>
        <v>566700</v>
      </c>
      <c r="M8" s="59">
        <f t="shared" si="6"/>
        <v>566700</v>
      </c>
      <c r="N8" s="59">
        <f t="shared" si="6"/>
        <v>566700</v>
      </c>
      <c r="O8" s="59">
        <f t="shared" si="6"/>
        <v>566700</v>
      </c>
      <c r="P8" s="59">
        <f>SUM(D8:O8)</f>
        <v>6800400</v>
      </c>
      <c r="Q8" s="89">
        <v>650000</v>
      </c>
      <c r="R8" s="89">
        <f>+Q8</f>
        <v>650000</v>
      </c>
      <c r="S8" s="89">
        <f t="shared" si="7"/>
        <v>650000</v>
      </c>
      <c r="T8" s="89">
        <f t="shared" si="7"/>
        <v>650000</v>
      </c>
      <c r="U8" s="89">
        <f t="shared" si="7"/>
        <v>650000</v>
      </c>
      <c r="V8" s="89">
        <f t="shared" si="7"/>
        <v>650000</v>
      </c>
      <c r="W8" s="89">
        <f t="shared" si="7"/>
        <v>650000</v>
      </c>
      <c r="X8" s="89">
        <f t="shared" si="7"/>
        <v>650000</v>
      </c>
      <c r="Y8" s="89">
        <f t="shared" si="7"/>
        <v>650000</v>
      </c>
      <c r="Z8" s="89">
        <f t="shared" si="7"/>
        <v>650000</v>
      </c>
      <c r="AA8" s="89">
        <f t="shared" si="7"/>
        <v>650000</v>
      </c>
      <c r="AB8" s="89">
        <f t="shared" si="7"/>
        <v>650000</v>
      </c>
      <c r="AC8" s="59">
        <f>SUM(Q8:AB8)</f>
        <v>7800000</v>
      </c>
      <c r="AD8" s="89">
        <v>700000</v>
      </c>
      <c r="AE8" s="89">
        <f>+AD8</f>
        <v>700000</v>
      </c>
      <c r="AF8" s="89">
        <f t="shared" si="8"/>
        <v>700000</v>
      </c>
      <c r="AG8" s="89">
        <f t="shared" si="8"/>
        <v>700000</v>
      </c>
      <c r="AH8" s="89">
        <f t="shared" si="8"/>
        <v>700000</v>
      </c>
      <c r="AI8" s="89">
        <f t="shared" si="8"/>
        <v>700000</v>
      </c>
      <c r="AJ8" s="89">
        <f t="shared" si="8"/>
        <v>700000</v>
      </c>
      <c r="AK8" s="89">
        <f t="shared" si="8"/>
        <v>700000</v>
      </c>
      <c r="AL8" s="89">
        <f t="shared" si="8"/>
        <v>700000</v>
      </c>
      <c r="AM8" s="89">
        <f t="shared" si="8"/>
        <v>700000</v>
      </c>
      <c r="AN8" s="89">
        <f t="shared" si="8"/>
        <v>700000</v>
      </c>
      <c r="AO8" s="89">
        <f t="shared" si="8"/>
        <v>700000</v>
      </c>
      <c r="AP8" s="59">
        <f>SUM(AD8:AO8)</f>
        <v>8400000</v>
      </c>
      <c r="AQ8" s="235">
        <v>700000</v>
      </c>
      <c r="AR8" s="89">
        <f t="shared" ref="AR8:BB8" si="18">+AQ8</f>
        <v>700000</v>
      </c>
      <c r="AS8" s="89">
        <f t="shared" si="18"/>
        <v>700000</v>
      </c>
      <c r="AT8" s="89">
        <f t="shared" si="18"/>
        <v>700000</v>
      </c>
      <c r="AU8" s="89">
        <f t="shared" si="18"/>
        <v>700000</v>
      </c>
      <c r="AV8" s="89">
        <f t="shared" si="18"/>
        <v>700000</v>
      </c>
      <c r="AW8" s="89">
        <f t="shared" si="18"/>
        <v>700000</v>
      </c>
      <c r="AX8" s="89">
        <f t="shared" si="18"/>
        <v>700000</v>
      </c>
      <c r="AY8" s="89">
        <f t="shared" si="18"/>
        <v>700000</v>
      </c>
      <c r="AZ8" s="89">
        <f t="shared" si="18"/>
        <v>700000</v>
      </c>
      <c r="BA8" s="89">
        <f t="shared" si="18"/>
        <v>700000</v>
      </c>
      <c r="BB8" s="89">
        <f t="shared" si="18"/>
        <v>700000</v>
      </c>
      <c r="BC8" s="59">
        <f>SUM(AQ8:BB8)</f>
        <v>8400000</v>
      </c>
      <c r="BD8" s="235">
        <v>700000</v>
      </c>
      <c r="BE8" s="89">
        <f t="shared" ref="BE8:BO8" si="19">+BD8</f>
        <v>700000</v>
      </c>
      <c r="BF8" s="89">
        <f t="shared" si="19"/>
        <v>700000</v>
      </c>
      <c r="BG8" s="89">
        <f t="shared" si="19"/>
        <v>700000</v>
      </c>
      <c r="BH8" s="89">
        <f t="shared" si="19"/>
        <v>700000</v>
      </c>
      <c r="BI8" s="89">
        <f t="shared" si="19"/>
        <v>700000</v>
      </c>
      <c r="BJ8" s="89">
        <f t="shared" si="19"/>
        <v>700000</v>
      </c>
      <c r="BK8" s="89">
        <f t="shared" si="19"/>
        <v>700000</v>
      </c>
      <c r="BL8" s="89">
        <f t="shared" si="19"/>
        <v>700000</v>
      </c>
      <c r="BM8" s="89">
        <f t="shared" si="19"/>
        <v>700000</v>
      </c>
      <c r="BN8" s="89">
        <f t="shared" si="19"/>
        <v>700000</v>
      </c>
      <c r="BO8" s="89">
        <f t="shared" si="19"/>
        <v>700000</v>
      </c>
      <c r="BP8" s="90">
        <f>SUM(BD8:BO8)</f>
        <v>8400000</v>
      </c>
    </row>
    <row r="9" spans="1:68" x14ac:dyDescent="0.25">
      <c r="A9" s="371"/>
      <c r="B9" s="73" t="s">
        <v>134</v>
      </c>
      <c r="C9" s="95">
        <v>0</v>
      </c>
      <c r="D9" s="59">
        <f>+'VEHICULOS '!D6</f>
        <v>2</v>
      </c>
      <c r="E9" s="59">
        <f>+'VEHICULOS '!E6</f>
        <v>2</v>
      </c>
      <c r="F9" s="59">
        <f>+'VEHICULOS '!F6</f>
        <v>2</v>
      </c>
      <c r="G9" s="59">
        <f>+'VEHICULOS '!G6</f>
        <v>2</v>
      </c>
      <c r="H9" s="59">
        <f>+'VEHICULOS '!H6</f>
        <v>2</v>
      </c>
      <c r="I9" s="59">
        <f>+'VEHICULOS '!I6</f>
        <v>2</v>
      </c>
      <c r="J9" s="59">
        <f>+'VEHICULOS '!J6</f>
        <v>4</v>
      </c>
      <c r="K9" s="59">
        <f>+'VEHICULOS '!K6</f>
        <v>4</v>
      </c>
      <c r="L9" s="59">
        <f>+'VEHICULOS '!L6</f>
        <v>4</v>
      </c>
      <c r="M9" s="59">
        <f>+'VEHICULOS '!M6</f>
        <v>4</v>
      </c>
      <c r="N9" s="59">
        <f>+'VEHICULOS '!N6</f>
        <v>4</v>
      </c>
      <c r="O9" s="59">
        <f>+'VEHICULOS '!O6</f>
        <v>4</v>
      </c>
      <c r="P9" s="59">
        <f>+O9</f>
        <v>4</v>
      </c>
      <c r="Q9" s="88">
        <f>+'VEHICULOS '!Q6</f>
        <v>4</v>
      </c>
      <c r="R9" s="88">
        <f>+'VEHICULOS '!R6</f>
        <v>4</v>
      </c>
      <c r="S9" s="88">
        <f>+'VEHICULOS '!S6</f>
        <v>4</v>
      </c>
      <c r="T9" s="88">
        <f>+'VEHICULOS '!T6</f>
        <v>4</v>
      </c>
      <c r="U9" s="88">
        <f>+'VEHICULOS '!U6</f>
        <v>4</v>
      </c>
      <c r="V9" s="88">
        <f>+'VEHICULOS '!V6</f>
        <v>4</v>
      </c>
      <c r="W9" s="88">
        <f>+'VEHICULOS '!W6</f>
        <v>6</v>
      </c>
      <c r="X9" s="88">
        <f>+'VEHICULOS '!X6</f>
        <v>6</v>
      </c>
      <c r="Y9" s="88">
        <f>+'VEHICULOS '!Y6</f>
        <v>6</v>
      </c>
      <c r="Z9" s="88">
        <f>+'VEHICULOS '!Z6</f>
        <v>6</v>
      </c>
      <c r="AA9" s="88">
        <f>+'VEHICULOS '!AA6</f>
        <v>6</v>
      </c>
      <c r="AB9" s="88">
        <f>+'VEHICULOS '!AB6</f>
        <v>6</v>
      </c>
      <c r="AC9" s="59">
        <f>+AB9</f>
        <v>6</v>
      </c>
      <c r="AD9" s="88">
        <f>+'VEHICULOS '!AD6</f>
        <v>6</v>
      </c>
      <c r="AE9" s="88">
        <f>+'VEHICULOS '!AE6</f>
        <v>6</v>
      </c>
      <c r="AF9" s="88">
        <f>+'VEHICULOS '!AF6</f>
        <v>6</v>
      </c>
      <c r="AG9" s="88">
        <f>+'VEHICULOS '!AG6</f>
        <v>6</v>
      </c>
      <c r="AH9" s="88">
        <f>+'VEHICULOS '!AH6</f>
        <v>6</v>
      </c>
      <c r="AI9" s="88">
        <f>+'VEHICULOS '!AI6</f>
        <v>6</v>
      </c>
      <c r="AJ9" s="88">
        <f>+'VEHICULOS '!AJ6</f>
        <v>6</v>
      </c>
      <c r="AK9" s="88">
        <f>+'VEHICULOS '!AK6</f>
        <v>6</v>
      </c>
      <c r="AL9" s="88">
        <f>+'VEHICULOS '!AL6</f>
        <v>6</v>
      </c>
      <c r="AM9" s="88">
        <f>+'VEHICULOS '!AM6</f>
        <v>6</v>
      </c>
      <c r="AN9" s="88">
        <f>+'VEHICULOS '!AN6</f>
        <v>6</v>
      </c>
      <c r="AO9" s="88">
        <f>+'VEHICULOS '!AO6</f>
        <v>6</v>
      </c>
      <c r="AP9" s="59">
        <f>+AO9</f>
        <v>6</v>
      </c>
      <c r="AQ9" s="236">
        <f>+'VEHICULOS '!AQ6</f>
        <v>6</v>
      </c>
      <c r="AR9" s="88">
        <f>+'VEHICULOS '!AR6</f>
        <v>6</v>
      </c>
      <c r="AS9" s="88">
        <f>+'VEHICULOS '!AS6</f>
        <v>6</v>
      </c>
      <c r="AT9" s="88">
        <f>+'VEHICULOS '!AT6</f>
        <v>6</v>
      </c>
      <c r="AU9" s="88">
        <f>+'VEHICULOS '!AU6</f>
        <v>6</v>
      </c>
      <c r="AV9" s="88">
        <f>+'VEHICULOS '!AV6</f>
        <v>6</v>
      </c>
      <c r="AW9" s="88">
        <f>+'VEHICULOS '!AW6</f>
        <v>6</v>
      </c>
      <c r="AX9" s="88">
        <f>+'VEHICULOS '!AX6</f>
        <v>6</v>
      </c>
      <c r="AY9" s="88">
        <f>+'VEHICULOS '!AY6</f>
        <v>6</v>
      </c>
      <c r="AZ9" s="88">
        <f>+'VEHICULOS '!AZ6</f>
        <v>6</v>
      </c>
      <c r="BA9" s="88">
        <f>+'VEHICULOS '!BA6</f>
        <v>6</v>
      </c>
      <c r="BB9" s="88">
        <f>+'VEHICULOS '!BB6</f>
        <v>6</v>
      </c>
      <c r="BC9" s="59">
        <f>+BB9</f>
        <v>6</v>
      </c>
      <c r="BD9" s="236">
        <f>+'VEHICULOS '!BD6</f>
        <v>6</v>
      </c>
      <c r="BE9" s="88">
        <f>+'VEHICULOS '!BE6</f>
        <v>6</v>
      </c>
      <c r="BF9" s="88">
        <f>+'VEHICULOS '!BF6</f>
        <v>6</v>
      </c>
      <c r="BG9" s="88">
        <f>+'VEHICULOS '!BG6</f>
        <v>6</v>
      </c>
      <c r="BH9" s="88">
        <f>+'VEHICULOS '!BH6</f>
        <v>6</v>
      </c>
      <c r="BI9" s="88">
        <f>+'VEHICULOS '!BI6</f>
        <v>6</v>
      </c>
      <c r="BJ9" s="88">
        <f>+'VEHICULOS '!BJ6</f>
        <v>6</v>
      </c>
      <c r="BK9" s="88">
        <f>+'VEHICULOS '!BK6</f>
        <v>6</v>
      </c>
      <c r="BL9" s="88">
        <f>+'VEHICULOS '!BL6</f>
        <v>6</v>
      </c>
      <c r="BM9" s="88">
        <f>+'VEHICULOS '!BM6</f>
        <v>6</v>
      </c>
      <c r="BN9" s="88">
        <f>+'VEHICULOS '!BN6</f>
        <v>6</v>
      </c>
      <c r="BO9" s="88">
        <f>+'VEHICULOS '!BO6</f>
        <v>6</v>
      </c>
      <c r="BP9" s="90">
        <f>+BO9</f>
        <v>6</v>
      </c>
    </row>
    <row r="10" spans="1:68" x14ac:dyDescent="0.25">
      <c r="A10" s="371"/>
      <c r="B10" s="73" t="s">
        <v>102</v>
      </c>
      <c r="C10" s="94">
        <v>0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62">
        <v>0.04</v>
      </c>
      <c r="P10" s="91">
        <f>+O10</f>
        <v>0.04</v>
      </c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62">
        <v>0.04</v>
      </c>
      <c r="AC10" s="91">
        <f>+AB10</f>
        <v>0.04</v>
      </c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62">
        <v>0.04</v>
      </c>
      <c r="AP10" s="91">
        <f>+AO10</f>
        <v>0.04</v>
      </c>
      <c r="AQ10" s="236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62">
        <v>0.04</v>
      </c>
      <c r="BC10" s="91">
        <f>+BB10</f>
        <v>0.04</v>
      </c>
      <c r="BD10" s="236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62">
        <v>0.04</v>
      </c>
      <c r="BP10" s="92">
        <f>+BO10</f>
        <v>0.04</v>
      </c>
    </row>
    <row r="11" spans="1:68" ht="15.75" thickBot="1" x14ac:dyDescent="0.3">
      <c r="A11" s="372"/>
      <c r="B11" s="130" t="s">
        <v>202</v>
      </c>
      <c r="C11" s="138"/>
      <c r="D11" s="132">
        <f>+D5+D6+((D8+D7)*D9)</f>
        <v>7333400</v>
      </c>
      <c r="E11" s="132">
        <f t="shared" ref="E11:AO11" si="20">+E5+E6+((E8+E7)*E9)</f>
        <v>7333400</v>
      </c>
      <c r="F11" s="132">
        <f t="shared" si="20"/>
        <v>7333400</v>
      </c>
      <c r="G11" s="132">
        <f t="shared" si="20"/>
        <v>7333400</v>
      </c>
      <c r="H11" s="132">
        <f t="shared" si="20"/>
        <v>7333400</v>
      </c>
      <c r="I11" s="132">
        <f t="shared" si="20"/>
        <v>7333400</v>
      </c>
      <c r="J11" s="132">
        <f t="shared" si="20"/>
        <v>10066800</v>
      </c>
      <c r="K11" s="132">
        <f t="shared" si="20"/>
        <v>10066800</v>
      </c>
      <c r="L11" s="132">
        <f t="shared" si="20"/>
        <v>10066800</v>
      </c>
      <c r="M11" s="132">
        <f t="shared" si="20"/>
        <v>10066800</v>
      </c>
      <c r="N11" s="132">
        <f t="shared" si="20"/>
        <v>10066800</v>
      </c>
      <c r="O11" s="132">
        <f t="shared" si="20"/>
        <v>10066800</v>
      </c>
      <c r="P11" s="133">
        <f>SUM(D11:O11)</f>
        <v>104401200</v>
      </c>
      <c r="Q11" s="132">
        <f t="shared" si="20"/>
        <v>12300000</v>
      </c>
      <c r="R11" s="132">
        <f t="shared" si="20"/>
        <v>12300000</v>
      </c>
      <c r="S11" s="132">
        <f t="shared" si="20"/>
        <v>12300000</v>
      </c>
      <c r="T11" s="132">
        <f t="shared" si="20"/>
        <v>12300000</v>
      </c>
      <c r="U11" s="132">
        <f t="shared" si="20"/>
        <v>12300000</v>
      </c>
      <c r="V11" s="132">
        <f t="shared" si="20"/>
        <v>12300000</v>
      </c>
      <c r="W11" s="132">
        <f t="shared" si="20"/>
        <v>15600000</v>
      </c>
      <c r="X11" s="132">
        <f t="shared" si="20"/>
        <v>15600000</v>
      </c>
      <c r="Y11" s="132">
        <f t="shared" si="20"/>
        <v>15600000</v>
      </c>
      <c r="Z11" s="132">
        <f t="shared" si="20"/>
        <v>15600000</v>
      </c>
      <c r="AA11" s="132">
        <f t="shared" si="20"/>
        <v>15600000</v>
      </c>
      <c r="AB11" s="132">
        <f t="shared" si="20"/>
        <v>15600000</v>
      </c>
      <c r="AC11" s="133">
        <f>SUM(Q11:AB11)</f>
        <v>167400000</v>
      </c>
      <c r="AD11" s="132">
        <f t="shared" si="20"/>
        <v>18150000</v>
      </c>
      <c r="AE11" s="132">
        <f t="shared" si="20"/>
        <v>18150000</v>
      </c>
      <c r="AF11" s="132">
        <f t="shared" si="20"/>
        <v>18150000</v>
      </c>
      <c r="AG11" s="132">
        <f t="shared" si="20"/>
        <v>18150000</v>
      </c>
      <c r="AH11" s="132">
        <f t="shared" si="20"/>
        <v>18150000</v>
      </c>
      <c r="AI11" s="132">
        <f t="shared" si="20"/>
        <v>18150000</v>
      </c>
      <c r="AJ11" s="132">
        <f t="shared" si="20"/>
        <v>18150000</v>
      </c>
      <c r="AK11" s="132">
        <f t="shared" si="20"/>
        <v>18150000</v>
      </c>
      <c r="AL11" s="132">
        <f t="shared" si="20"/>
        <v>18150000</v>
      </c>
      <c r="AM11" s="132">
        <f t="shared" si="20"/>
        <v>18150000</v>
      </c>
      <c r="AN11" s="132">
        <f t="shared" si="20"/>
        <v>18150000</v>
      </c>
      <c r="AO11" s="132">
        <f t="shared" si="20"/>
        <v>18150000</v>
      </c>
      <c r="AP11" s="133">
        <f>SUM(AD11:AO11)</f>
        <v>217800000</v>
      </c>
      <c r="AQ11" s="237">
        <f t="shared" ref="AQ11:BB11" si="21">+AQ5+AQ6+((AQ8+AQ7)*AQ9)</f>
        <v>18650000</v>
      </c>
      <c r="AR11" s="132">
        <f t="shared" si="21"/>
        <v>18650000</v>
      </c>
      <c r="AS11" s="132">
        <f t="shared" si="21"/>
        <v>18650000</v>
      </c>
      <c r="AT11" s="132">
        <f t="shared" si="21"/>
        <v>18650000</v>
      </c>
      <c r="AU11" s="132">
        <f t="shared" si="21"/>
        <v>18650000</v>
      </c>
      <c r="AV11" s="132">
        <f t="shared" si="21"/>
        <v>18650000</v>
      </c>
      <c r="AW11" s="132">
        <f t="shared" si="21"/>
        <v>18650000</v>
      </c>
      <c r="AX11" s="132">
        <f t="shared" si="21"/>
        <v>18650000</v>
      </c>
      <c r="AY11" s="132">
        <f t="shared" si="21"/>
        <v>18650000</v>
      </c>
      <c r="AZ11" s="132">
        <f t="shared" si="21"/>
        <v>18650000</v>
      </c>
      <c r="BA11" s="132">
        <f t="shared" si="21"/>
        <v>18650000</v>
      </c>
      <c r="BB11" s="132">
        <f t="shared" si="21"/>
        <v>18650000</v>
      </c>
      <c r="BC11" s="133">
        <f>SUM(AQ11:BB11)</f>
        <v>223800000</v>
      </c>
      <c r="BD11" s="237">
        <f t="shared" ref="BD11:BO11" si="22">+BD5+BD6+((BD8+BD7)*BD9)</f>
        <v>19150000</v>
      </c>
      <c r="BE11" s="132">
        <f t="shared" si="22"/>
        <v>19150000</v>
      </c>
      <c r="BF11" s="132">
        <f t="shared" si="22"/>
        <v>19150000</v>
      </c>
      <c r="BG11" s="132">
        <f t="shared" si="22"/>
        <v>19150000</v>
      </c>
      <c r="BH11" s="132">
        <f t="shared" si="22"/>
        <v>19150000</v>
      </c>
      <c r="BI11" s="132">
        <f t="shared" si="22"/>
        <v>19150000</v>
      </c>
      <c r="BJ11" s="132">
        <f t="shared" si="22"/>
        <v>19150000</v>
      </c>
      <c r="BK11" s="132">
        <f t="shared" si="22"/>
        <v>19150000</v>
      </c>
      <c r="BL11" s="132">
        <f t="shared" si="22"/>
        <v>19150000</v>
      </c>
      <c r="BM11" s="132">
        <f t="shared" si="22"/>
        <v>19150000</v>
      </c>
      <c r="BN11" s="132">
        <f t="shared" si="22"/>
        <v>19150000</v>
      </c>
      <c r="BO11" s="132">
        <f t="shared" si="22"/>
        <v>19150000</v>
      </c>
      <c r="BP11" s="134">
        <f>SUM(BD11:BO11)</f>
        <v>229800000</v>
      </c>
    </row>
    <row r="12" spans="1:68" ht="15" customHeight="1" x14ac:dyDescent="0.25">
      <c r="A12" s="370" t="s">
        <v>203</v>
      </c>
      <c r="B12" s="126" t="s">
        <v>81</v>
      </c>
      <c r="C12" s="127">
        <v>8.5000000000000006E-2</v>
      </c>
      <c r="D12" s="128">
        <f>ROUND(D$11*$C12,0)</f>
        <v>623339</v>
      </c>
      <c r="E12" s="128">
        <f t="shared" ref="E12:T14" si="23">ROUND(E$11*$C12,0)</f>
        <v>623339</v>
      </c>
      <c r="F12" s="128">
        <f t="shared" si="23"/>
        <v>623339</v>
      </c>
      <c r="G12" s="128">
        <f t="shared" si="23"/>
        <v>623339</v>
      </c>
      <c r="H12" s="128">
        <f t="shared" si="23"/>
        <v>623339</v>
      </c>
      <c r="I12" s="128">
        <f t="shared" si="23"/>
        <v>623339</v>
      </c>
      <c r="J12" s="128">
        <f t="shared" si="23"/>
        <v>855678</v>
      </c>
      <c r="K12" s="128">
        <f t="shared" si="23"/>
        <v>855678</v>
      </c>
      <c r="L12" s="128">
        <f t="shared" si="23"/>
        <v>855678</v>
      </c>
      <c r="M12" s="128">
        <f t="shared" si="23"/>
        <v>855678</v>
      </c>
      <c r="N12" s="128">
        <f t="shared" si="23"/>
        <v>855678</v>
      </c>
      <c r="O12" s="128">
        <f t="shared" si="23"/>
        <v>855678</v>
      </c>
      <c r="P12" s="128">
        <f>SUM(C12:O12)</f>
        <v>8874102.0850000009</v>
      </c>
      <c r="Q12" s="128">
        <f t="shared" si="23"/>
        <v>1045500</v>
      </c>
      <c r="R12" s="128">
        <f t="shared" si="23"/>
        <v>1045500</v>
      </c>
      <c r="S12" s="128">
        <f t="shared" si="23"/>
        <v>1045500</v>
      </c>
      <c r="T12" s="128">
        <f t="shared" si="23"/>
        <v>1045500</v>
      </c>
      <c r="U12" s="128">
        <f t="shared" ref="Q12:AB14" si="24">ROUND(U$11*$C12,0)</f>
        <v>1045500</v>
      </c>
      <c r="V12" s="128">
        <f t="shared" si="24"/>
        <v>1045500</v>
      </c>
      <c r="W12" s="128">
        <f t="shared" si="24"/>
        <v>1326000</v>
      </c>
      <c r="X12" s="128">
        <f t="shared" si="24"/>
        <v>1326000</v>
      </c>
      <c r="Y12" s="128">
        <f t="shared" si="24"/>
        <v>1326000</v>
      </c>
      <c r="Z12" s="128">
        <f t="shared" si="24"/>
        <v>1326000</v>
      </c>
      <c r="AA12" s="128">
        <f t="shared" si="24"/>
        <v>1326000</v>
      </c>
      <c r="AB12" s="128">
        <f t="shared" si="24"/>
        <v>1326000</v>
      </c>
      <c r="AC12" s="128">
        <f>SUM(P12:AB12)</f>
        <v>23103102.085000001</v>
      </c>
      <c r="AD12" s="128">
        <f t="shared" ref="AD12:AS14" si="25">ROUND(AD$11*$C12,0)</f>
        <v>1542750</v>
      </c>
      <c r="AE12" s="128">
        <f t="shared" si="25"/>
        <v>1542750</v>
      </c>
      <c r="AF12" s="128">
        <f t="shared" si="25"/>
        <v>1542750</v>
      </c>
      <c r="AG12" s="128">
        <f t="shared" si="25"/>
        <v>1542750</v>
      </c>
      <c r="AH12" s="128">
        <f t="shared" si="25"/>
        <v>1542750</v>
      </c>
      <c r="AI12" s="128">
        <f t="shared" si="25"/>
        <v>1542750</v>
      </c>
      <c r="AJ12" s="128">
        <f t="shared" si="25"/>
        <v>1542750</v>
      </c>
      <c r="AK12" s="128">
        <f t="shared" si="25"/>
        <v>1542750</v>
      </c>
      <c r="AL12" s="128">
        <f t="shared" si="25"/>
        <v>1542750</v>
      </c>
      <c r="AM12" s="128">
        <f t="shared" si="25"/>
        <v>1542750</v>
      </c>
      <c r="AN12" s="128">
        <f t="shared" si="25"/>
        <v>1542750</v>
      </c>
      <c r="AO12" s="128">
        <f t="shared" si="25"/>
        <v>1542750</v>
      </c>
      <c r="AP12" s="128">
        <f>SUM(AC12:AO12)</f>
        <v>41616102.085000001</v>
      </c>
      <c r="AQ12" s="238">
        <f t="shared" si="25"/>
        <v>1585250</v>
      </c>
      <c r="AR12" s="128">
        <f t="shared" si="25"/>
        <v>1585250</v>
      </c>
      <c r="AS12" s="128">
        <f t="shared" si="25"/>
        <v>1585250</v>
      </c>
      <c r="AT12" s="128">
        <f t="shared" ref="AQ12:BB14" si="26">ROUND(AT$11*$C12,0)</f>
        <v>1585250</v>
      </c>
      <c r="AU12" s="128">
        <f t="shared" si="26"/>
        <v>1585250</v>
      </c>
      <c r="AV12" s="128">
        <f t="shared" si="26"/>
        <v>1585250</v>
      </c>
      <c r="AW12" s="128">
        <f t="shared" si="26"/>
        <v>1585250</v>
      </c>
      <c r="AX12" s="128">
        <f t="shared" si="26"/>
        <v>1585250</v>
      </c>
      <c r="AY12" s="128">
        <f t="shared" si="26"/>
        <v>1585250</v>
      </c>
      <c r="AZ12" s="128">
        <f t="shared" si="26"/>
        <v>1585250</v>
      </c>
      <c r="BA12" s="128">
        <f t="shared" si="26"/>
        <v>1585250</v>
      </c>
      <c r="BB12" s="128">
        <f t="shared" si="26"/>
        <v>1585250</v>
      </c>
      <c r="BC12" s="128">
        <f>SUM(AP12:BB12)</f>
        <v>60639102.085000001</v>
      </c>
      <c r="BD12" s="238">
        <f t="shared" ref="BD12:BO14" si="27">ROUND(BD$11*$C12,0)</f>
        <v>1627750</v>
      </c>
      <c r="BE12" s="128">
        <f t="shared" si="27"/>
        <v>1627750</v>
      </c>
      <c r="BF12" s="128">
        <f t="shared" si="27"/>
        <v>1627750</v>
      </c>
      <c r="BG12" s="128">
        <f t="shared" si="27"/>
        <v>1627750</v>
      </c>
      <c r="BH12" s="128">
        <f t="shared" si="27"/>
        <v>1627750</v>
      </c>
      <c r="BI12" s="128">
        <f t="shared" si="27"/>
        <v>1627750</v>
      </c>
      <c r="BJ12" s="128">
        <f t="shared" si="27"/>
        <v>1627750</v>
      </c>
      <c r="BK12" s="128">
        <f t="shared" si="27"/>
        <v>1627750</v>
      </c>
      <c r="BL12" s="128">
        <f t="shared" si="27"/>
        <v>1627750</v>
      </c>
      <c r="BM12" s="128">
        <f t="shared" si="27"/>
        <v>1627750</v>
      </c>
      <c r="BN12" s="128">
        <f t="shared" si="27"/>
        <v>1627750</v>
      </c>
      <c r="BO12" s="128">
        <f t="shared" si="27"/>
        <v>1627750</v>
      </c>
      <c r="BP12" s="129">
        <f>SUM(BC12:BO12)</f>
        <v>80172102.085000008</v>
      </c>
    </row>
    <row r="13" spans="1:68" x14ac:dyDescent="0.25">
      <c r="A13" s="376"/>
      <c r="B13" s="58" t="s">
        <v>77</v>
      </c>
      <c r="C13" s="62">
        <v>0.12</v>
      </c>
      <c r="D13" s="59">
        <f>ROUND(D$11*$C13,0)</f>
        <v>880008</v>
      </c>
      <c r="E13" s="59">
        <f t="shared" si="23"/>
        <v>880008</v>
      </c>
      <c r="F13" s="59">
        <f t="shared" si="23"/>
        <v>880008</v>
      </c>
      <c r="G13" s="59">
        <f t="shared" si="23"/>
        <v>880008</v>
      </c>
      <c r="H13" s="59">
        <f t="shared" si="23"/>
        <v>880008</v>
      </c>
      <c r="I13" s="59">
        <f t="shared" si="23"/>
        <v>880008</v>
      </c>
      <c r="J13" s="59">
        <f t="shared" si="23"/>
        <v>1208016</v>
      </c>
      <c r="K13" s="59">
        <f t="shared" si="23"/>
        <v>1208016</v>
      </c>
      <c r="L13" s="59">
        <f t="shared" si="23"/>
        <v>1208016</v>
      </c>
      <c r="M13" s="59">
        <f t="shared" si="23"/>
        <v>1208016</v>
      </c>
      <c r="N13" s="59">
        <f t="shared" si="23"/>
        <v>1208016</v>
      </c>
      <c r="O13" s="59">
        <f t="shared" si="23"/>
        <v>1208016</v>
      </c>
      <c r="P13" s="59">
        <f>SUM(C13:O13)</f>
        <v>12528144.120000001</v>
      </c>
      <c r="Q13" s="59">
        <f t="shared" si="24"/>
        <v>1476000</v>
      </c>
      <c r="R13" s="59">
        <f t="shared" si="24"/>
        <v>1476000</v>
      </c>
      <c r="S13" s="59">
        <f t="shared" si="24"/>
        <v>1476000</v>
      </c>
      <c r="T13" s="59">
        <f t="shared" si="24"/>
        <v>1476000</v>
      </c>
      <c r="U13" s="59">
        <f t="shared" si="24"/>
        <v>1476000</v>
      </c>
      <c r="V13" s="59">
        <f t="shared" si="24"/>
        <v>1476000</v>
      </c>
      <c r="W13" s="59">
        <f t="shared" si="24"/>
        <v>1872000</v>
      </c>
      <c r="X13" s="59">
        <f t="shared" si="24"/>
        <v>1872000</v>
      </c>
      <c r="Y13" s="59">
        <f t="shared" si="24"/>
        <v>1872000</v>
      </c>
      <c r="Z13" s="59">
        <f t="shared" si="24"/>
        <v>1872000</v>
      </c>
      <c r="AA13" s="59">
        <f t="shared" si="24"/>
        <v>1872000</v>
      </c>
      <c r="AB13" s="59">
        <f t="shared" si="24"/>
        <v>1872000</v>
      </c>
      <c r="AC13" s="59">
        <f>SUM(P13:AB13)</f>
        <v>32616144.120000001</v>
      </c>
      <c r="AD13" s="59">
        <f t="shared" si="25"/>
        <v>2178000</v>
      </c>
      <c r="AE13" s="59">
        <f t="shared" si="25"/>
        <v>2178000</v>
      </c>
      <c r="AF13" s="59">
        <f t="shared" si="25"/>
        <v>2178000</v>
      </c>
      <c r="AG13" s="59">
        <f t="shared" si="25"/>
        <v>2178000</v>
      </c>
      <c r="AH13" s="59">
        <f t="shared" si="25"/>
        <v>2178000</v>
      </c>
      <c r="AI13" s="59">
        <f t="shared" si="25"/>
        <v>2178000</v>
      </c>
      <c r="AJ13" s="59">
        <f t="shared" si="25"/>
        <v>2178000</v>
      </c>
      <c r="AK13" s="59">
        <f t="shared" si="25"/>
        <v>2178000</v>
      </c>
      <c r="AL13" s="59">
        <f t="shared" si="25"/>
        <v>2178000</v>
      </c>
      <c r="AM13" s="59">
        <f t="shared" si="25"/>
        <v>2178000</v>
      </c>
      <c r="AN13" s="59">
        <f t="shared" si="25"/>
        <v>2178000</v>
      </c>
      <c r="AO13" s="59">
        <f t="shared" si="25"/>
        <v>2178000</v>
      </c>
      <c r="AP13" s="59">
        <f>SUM(AC13:AO13)</f>
        <v>58752144.120000005</v>
      </c>
      <c r="AQ13" s="239">
        <f t="shared" si="26"/>
        <v>2238000</v>
      </c>
      <c r="AR13" s="59">
        <f t="shared" si="26"/>
        <v>2238000</v>
      </c>
      <c r="AS13" s="59">
        <f t="shared" si="26"/>
        <v>2238000</v>
      </c>
      <c r="AT13" s="59">
        <f t="shared" si="26"/>
        <v>2238000</v>
      </c>
      <c r="AU13" s="59">
        <f t="shared" si="26"/>
        <v>2238000</v>
      </c>
      <c r="AV13" s="59">
        <f t="shared" si="26"/>
        <v>2238000</v>
      </c>
      <c r="AW13" s="59">
        <f t="shared" si="26"/>
        <v>2238000</v>
      </c>
      <c r="AX13" s="59">
        <f t="shared" si="26"/>
        <v>2238000</v>
      </c>
      <c r="AY13" s="59">
        <f t="shared" si="26"/>
        <v>2238000</v>
      </c>
      <c r="AZ13" s="59">
        <f t="shared" si="26"/>
        <v>2238000</v>
      </c>
      <c r="BA13" s="59">
        <f t="shared" si="26"/>
        <v>2238000</v>
      </c>
      <c r="BB13" s="59">
        <f t="shared" si="26"/>
        <v>2238000</v>
      </c>
      <c r="BC13" s="59">
        <f>SUM(AP13:BB13)</f>
        <v>85608144.120000005</v>
      </c>
      <c r="BD13" s="239">
        <f t="shared" si="27"/>
        <v>2298000</v>
      </c>
      <c r="BE13" s="59">
        <f t="shared" si="27"/>
        <v>2298000</v>
      </c>
      <c r="BF13" s="59">
        <f t="shared" si="27"/>
        <v>2298000</v>
      </c>
      <c r="BG13" s="59">
        <f t="shared" si="27"/>
        <v>2298000</v>
      </c>
      <c r="BH13" s="59">
        <f t="shared" si="27"/>
        <v>2298000</v>
      </c>
      <c r="BI13" s="59">
        <f t="shared" si="27"/>
        <v>2298000</v>
      </c>
      <c r="BJ13" s="59">
        <f t="shared" si="27"/>
        <v>2298000</v>
      </c>
      <c r="BK13" s="59">
        <f t="shared" si="27"/>
        <v>2298000</v>
      </c>
      <c r="BL13" s="59">
        <f t="shared" si="27"/>
        <v>2298000</v>
      </c>
      <c r="BM13" s="59">
        <f t="shared" si="27"/>
        <v>2298000</v>
      </c>
      <c r="BN13" s="59">
        <f t="shared" si="27"/>
        <v>2298000</v>
      </c>
      <c r="BO13" s="59">
        <f t="shared" si="27"/>
        <v>2298000</v>
      </c>
      <c r="BP13" s="90">
        <f>SUM(BC13:BO13)</f>
        <v>113184144.12</v>
      </c>
    </row>
    <row r="14" spans="1:68" x14ac:dyDescent="0.25">
      <c r="A14" s="376"/>
      <c r="B14" s="58" t="s">
        <v>80</v>
      </c>
      <c r="C14" s="93">
        <v>5.2199999999999998E-3</v>
      </c>
      <c r="D14" s="59">
        <f>ROUND(D$11*$C14,0)</f>
        <v>38280</v>
      </c>
      <c r="E14" s="59">
        <f t="shared" si="23"/>
        <v>38280</v>
      </c>
      <c r="F14" s="59">
        <f t="shared" si="23"/>
        <v>38280</v>
      </c>
      <c r="G14" s="59">
        <f t="shared" si="23"/>
        <v>38280</v>
      </c>
      <c r="H14" s="59">
        <f t="shared" si="23"/>
        <v>38280</v>
      </c>
      <c r="I14" s="59">
        <f t="shared" si="23"/>
        <v>38280</v>
      </c>
      <c r="J14" s="59">
        <f t="shared" si="23"/>
        <v>52549</v>
      </c>
      <c r="K14" s="59">
        <f t="shared" si="23"/>
        <v>52549</v>
      </c>
      <c r="L14" s="59">
        <f t="shared" si="23"/>
        <v>52549</v>
      </c>
      <c r="M14" s="59">
        <f t="shared" si="23"/>
        <v>52549</v>
      </c>
      <c r="N14" s="59">
        <f t="shared" si="23"/>
        <v>52549</v>
      </c>
      <c r="O14" s="59">
        <f t="shared" si="23"/>
        <v>52549</v>
      </c>
      <c r="P14" s="59">
        <f>SUM(C14:O14)</f>
        <v>544974.00521999993</v>
      </c>
      <c r="Q14" s="59">
        <f t="shared" si="24"/>
        <v>64206</v>
      </c>
      <c r="R14" s="59">
        <f t="shared" si="24"/>
        <v>64206</v>
      </c>
      <c r="S14" s="59">
        <f t="shared" si="24"/>
        <v>64206</v>
      </c>
      <c r="T14" s="59">
        <f t="shared" si="24"/>
        <v>64206</v>
      </c>
      <c r="U14" s="59">
        <f t="shared" si="24"/>
        <v>64206</v>
      </c>
      <c r="V14" s="59">
        <f t="shared" si="24"/>
        <v>64206</v>
      </c>
      <c r="W14" s="59">
        <f t="shared" si="24"/>
        <v>81432</v>
      </c>
      <c r="X14" s="59">
        <f t="shared" si="24"/>
        <v>81432</v>
      </c>
      <c r="Y14" s="59">
        <f t="shared" si="24"/>
        <v>81432</v>
      </c>
      <c r="Z14" s="59">
        <f t="shared" si="24"/>
        <v>81432</v>
      </c>
      <c r="AA14" s="59">
        <f t="shared" si="24"/>
        <v>81432</v>
      </c>
      <c r="AB14" s="59">
        <f t="shared" si="24"/>
        <v>81432</v>
      </c>
      <c r="AC14" s="59">
        <f>SUM(P14:AB14)</f>
        <v>1418802.0052199999</v>
      </c>
      <c r="AD14" s="59">
        <f t="shared" si="25"/>
        <v>94743</v>
      </c>
      <c r="AE14" s="59">
        <f t="shared" si="25"/>
        <v>94743</v>
      </c>
      <c r="AF14" s="59">
        <f t="shared" si="25"/>
        <v>94743</v>
      </c>
      <c r="AG14" s="59">
        <f t="shared" si="25"/>
        <v>94743</v>
      </c>
      <c r="AH14" s="59">
        <f t="shared" si="25"/>
        <v>94743</v>
      </c>
      <c r="AI14" s="59">
        <f t="shared" si="25"/>
        <v>94743</v>
      </c>
      <c r="AJ14" s="59">
        <f t="shared" si="25"/>
        <v>94743</v>
      </c>
      <c r="AK14" s="59">
        <f t="shared" si="25"/>
        <v>94743</v>
      </c>
      <c r="AL14" s="59">
        <f t="shared" si="25"/>
        <v>94743</v>
      </c>
      <c r="AM14" s="59">
        <f t="shared" si="25"/>
        <v>94743</v>
      </c>
      <c r="AN14" s="59">
        <f t="shared" si="25"/>
        <v>94743</v>
      </c>
      <c r="AO14" s="59">
        <f t="shared" si="25"/>
        <v>94743</v>
      </c>
      <c r="AP14" s="59">
        <f>SUM(AC14:AO14)</f>
        <v>2555718.0052199997</v>
      </c>
      <c r="AQ14" s="239">
        <f t="shared" si="26"/>
        <v>97353</v>
      </c>
      <c r="AR14" s="59">
        <f t="shared" si="26"/>
        <v>97353</v>
      </c>
      <c r="AS14" s="59">
        <f t="shared" si="26"/>
        <v>97353</v>
      </c>
      <c r="AT14" s="59">
        <f t="shared" si="26"/>
        <v>97353</v>
      </c>
      <c r="AU14" s="59">
        <f t="shared" si="26"/>
        <v>97353</v>
      </c>
      <c r="AV14" s="59">
        <f t="shared" si="26"/>
        <v>97353</v>
      </c>
      <c r="AW14" s="59">
        <f t="shared" si="26"/>
        <v>97353</v>
      </c>
      <c r="AX14" s="59">
        <f t="shared" si="26"/>
        <v>97353</v>
      </c>
      <c r="AY14" s="59">
        <f t="shared" si="26"/>
        <v>97353</v>
      </c>
      <c r="AZ14" s="59">
        <f t="shared" si="26"/>
        <v>97353</v>
      </c>
      <c r="BA14" s="59">
        <f t="shared" si="26"/>
        <v>97353</v>
      </c>
      <c r="BB14" s="59">
        <f t="shared" si="26"/>
        <v>97353</v>
      </c>
      <c r="BC14" s="59">
        <f>SUM(AP14:BB14)</f>
        <v>3723954.0052199997</v>
      </c>
      <c r="BD14" s="239">
        <f t="shared" si="27"/>
        <v>99963</v>
      </c>
      <c r="BE14" s="59">
        <f t="shared" si="27"/>
        <v>99963</v>
      </c>
      <c r="BF14" s="59">
        <f t="shared" si="27"/>
        <v>99963</v>
      </c>
      <c r="BG14" s="59">
        <f t="shared" si="27"/>
        <v>99963</v>
      </c>
      <c r="BH14" s="59">
        <f t="shared" si="27"/>
        <v>99963</v>
      </c>
      <c r="BI14" s="59">
        <f t="shared" si="27"/>
        <v>99963</v>
      </c>
      <c r="BJ14" s="59">
        <f t="shared" si="27"/>
        <v>99963</v>
      </c>
      <c r="BK14" s="59">
        <f t="shared" si="27"/>
        <v>99963</v>
      </c>
      <c r="BL14" s="59">
        <f t="shared" si="27"/>
        <v>99963</v>
      </c>
      <c r="BM14" s="59">
        <f t="shared" si="27"/>
        <v>99963</v>
      </c>
      <c r="BN14" s="59">
        <f t="shared" si="27"/>
        <v>99963</v>
      </c>
      <c r="BO14" s="59">
        <f t="shared" si="27"/>
        <v>99963</v>
      </c>
      <c r="BP14" s="90">
        <f>SUM(BC14:BO14)</f>
        <v>4923510.0052199997</v>
      </c>
    </row>
    <row r="15" spans="1:68" ht="15.75" thickBot="1" x14ac:dyDescent="0.3">
      <c r="A15" s="377"/>
      <c r="B15" s="130" t="s">
        <v>199</v>
      </c>
      <c r="C15" s="131">
        <v>0</v>
      </c>
      <c r="D15" s="132">
        <f t="shared" ref="D15:O15" si="28">SUM(D12:D14)</f>
        <v>1541627</v>
      </c>
      <c r="E15" s="132">
        <f t="shared" si="28"/>
        <v>1541627</v>
      </c>
      <c r="F15" s="132">
        <f t="shared" si="28"/>
        <v>1541627</v>
      </c>
      <c r="G15" s="132">
        <f t="shared" si="28"/>
        <v>1541627</v>
      </c>
      <c r="H15" s="132">
        <f t="shared" si="28"/>
        <v>1541627</v>
      </c>
      <c r="I15" s="132">
        <f t="shared" si="28"/>
        <v>1541627</v>
      </c>
      <c r="J15" s="132">
        <f t="shared" si="28"/>
        <v>2116243</v>
      </c>
      <c r="K15" s="132">
        <f t="shared" si="28"/>
        <v>2116243</v>
      </c>
      <c r="L15" s="132">
        <f t="shared" si="28"/>
        <v>2116243</v>
      </c>
      <c r="M15" s="132">
        <f t="shared" si="28"/>
        <v>2116243</v>
      </c>
      <c r="N15" s="132">
        <f t="shared" si="28"/>
        <v>2116243</v>
      </c>
      <c r="O15" s="132">
        <f t="shared" si="28"/>
        <v>2116243</v>
      </c>
      <c r="P15" s="132">
        <f>SUM(D15:O15)</f>
        <v>21947220</v>
      </c>
      <c r="Q15" s="132">
        <f t="shared" ref="Q15:AB15" si="29">SUM(Q12:Q14)</f>
        <v>2585706</v>
      </c>
      <c r="R15" s="132">
        <f t="shared" si="29"/>
        <v>2585706</v>
      </c>
      <c r="S15" s="132">
        <f t="shared" si="29"/>
        <v>2585706</v>
      </c>
      <c r="T15" s="132">
        <f t="shared" si="29"/>
        <v>2585706</v>
      </c>
      <c r="U15" s="132">
        <f t="shared" si="29"/>
        <v>2585706</v>
      </c>
      <c r="V15" s="132">
        <f t="shared" si="29"/>
        <v>2585706</v>
      </c>
      <c r="W15" s="132">
        <f t="shared" si="29"/>
        <v>3279432</v>
      </c>
      <c r="X15" s="132">
        <f t="shared" si="29"/>
        <v>3279432</v>
      </c>
      <c r="Y15" s="132">
        <f t="shared" si="29"/>
        <v>3279432</v>
      </c>
      <c r="Z15" s="132">
        <f t="shared" si="29"/>
        <v>3279432</v>
      </c>
      <c r="AA15" s="132">
        <f t="shared" si="29"/>
        <v>3279432</v>
      </c>
      <c r="AB15" s="132">
        <f t="shared" si="29"/>
        <v>3279432</v>
      </c>
      <c r="AC15" s="133">
        <f>SUM(Q15:AB15)</f>
        <v>35190828</v>
      </c>
      <c r="AD15" s="132">
        <f t="shared" ref="AD15:AO15" si="30">SUM(AD12:AD14)</f>
        <v>3815493</v>
      </c>
      <c r="AE15" s="132">
        <f t="shared" si="30"/>
        <v>3815493</v>
      </c>
      <c r="AF15" s="132">
        <f t="shared" si="30"/>
        <v>3815493</v>
      </c>
      <c r="AG15" s="132">
        <f t="shared" si="30"/>
        <v>3815493</v>
      </c>
      <c r="AH15" s="132">
        <f t="shared" si="30"/>
        <v>3815493</v>
      </c>
      <c r="AI15" s="132">
        <f t="shared" si="30"/>
        <v>3815493</v>
      </c>
      <c r="AJ15" s="132">
        <f t="shared" si="30"/>
        <v>3815493</v>
      </c>
      <c r="AK15" s="132">
        <f t="shared" si="30"/>
        <v>3815493</v>
      </c>
      <c r="AL15" s="132">
        <f t="shared" si="30"/>
        <v>3815493</v>
      </c>
      <c r="AM15" s="132">
        <f t="shared" si="30"/>
        <v>3815493</v>
      </c>
      <c r="AN15" s="132">
        <f t="shared" si="30"/>
        <v>3815493</v>
      </c>
      <c r="AO15" s="132">
        <f t="shared" si="30"/>
        <v>3815493</v>
      </c>
      <c r="AP15" s="133">
        <f>SUM(AD15:AO15)</f>
        <v>45785916</v>
      </c>
      <c r="AQ15" s="237">
        <f t="shared" ref="AQ15:BB15" si="31">SUM(AQ12:AQ14)</f>
        <v>3920603</v>
      </c>
      <c r="AR15" s="132">
        <f t="shared" si="31"/>
        <v>3920603</v>
      </c>
      <c r="AS15" s="132">
        <f t="shared" si="31"/>
        <v>3920603</v>
      </c>
      <c r="AT15" s="132">
        <f t="shared" si="31"/>
        <v>3920603</v>
      </c>
      <c r="AU15" s="132">
        <f t="shared" si="31"/>
        <v>3920603</v>
      </c>
      <c r="AV15" s="132">
        <f t="shared" si="31"/>
        <v>3920603</v>
      </c>
      <c r="AW15" s="132">
        <f t="shared" si="31"/>
        <v>3920603</v>
      </c>
      <c r="AX15" s="132">
        <f t="shared" si="31"/>
        <v>3920603</v>
      </c>
      <c r="AY15" s="132">
        <f t="shared" si="31"/>
        <v>3920603</v>
      </c>
      <c r="AZ15" s="132">
        <f t="shared" si="31"/>
        <v>3920603</v>
      </c>
      <c r="BA15" s="132">
        <f t="shared" si="31"/>
        <v>3920603</v>
      </c>
      <c r="BB15" s="132">
        <f t="shared" si="31"/>
        <v>3920603</v>
      </c>
      <c r="BC15" s="133">
        <f>SUM(AQ15:BB15)</f>
        <v>47047236</v>
      </c>
      <c r="BD15" s="237">
        <f t="shared" ref="BD15:BO15" si="32">SUM(BD12:BD14)</f>
        <v>4025713</v>
      </c>
      <c r="BE15" s="132">
        <f t="shared" si="32"/>
        <v>4025713</v>
      </c>
      <c r="BF15" s="132">
        <f t="shared" si="32"/>
        <v>4025713</v>
      </c>
      <c r="BG15" s="132">
        <f t="shared" si="32"/>
        <v>4025713</v>
      </c>
      <c r="BH15" s="132">
        <f t="shared" si="32"/>
        <v>4025713</v>
      </c>
      <c r="BI15" s="132">
        <f t="shared" si="32"/>
        <v>4025713</v>
      </c>
      <c r="BJ15" s="132">
        <f t="shared" si="32"/>
        <v>4025713</v>
      </c>
      <c r="BK15" s="132">
        <f t="shared" si="32"/>
        <v>4025713</v>
      </c>
      <c r="BL15" s="132">
        <f t="shared" si="32"/>
        <v>4025713</v>
      </c>
      <c r="BM15" s="132">
        <f t="shared" si="32"/>
        <v>4025713</v>
      </c>
      <c r="BN15" s="132">
        <f t="shared" si="32"/>
        <v>4025713</v>
      </c>
      <c r="BO15" s="132">
        <f t="shared" si="32"/>
        <v>4025713</v>
      </c>
      <c r="BP15" s="134">
        <f>SUM(BD15:BO15)</f>
        <v>48308556</v>
      </c>
    </row>
    <row r="16" spans="1:68" ht="15" customHeight="1" x14ac:dyDescent="0.25">
      <c r="A16" s="376" t="s">
        <v>70</v>
      </c>
      <c r="B16" s="122" t="s">
        <v>67</v>
      </c>
      <c r="C16" s="123">
        <v>0.02</v>
      </c>
      <c r="D16" s="124">
        <f t="shared" ref="D16:O18" si="33">ROUND(D$11*$C16,0)</f>
        <v>146668</v>
      </c>
      <c r="E16" s="124">
        <f t="shared" si="33"/>
        <v>146668</v>
      </c>
      <c r="F16" s="124">
        <f t="shared" si="33"/>
        <v>146668</v>
      </c>
      <c r="G16" s="124">
        <f t="shared" si="33"/>
        <v>146668</v>
      </c>
      <c r="H16" s="124">
        <f t="shared" si="33"/>
        <v>146668</v>
      </c>
      <c r="I16" s="124">
        <f t="shared" si="33"/>
        <v>146668</v>
      </c>
      <c r="J16" s="124">
        <f t="shared" si="33"/>
        <v>201336</v>
      </c>
      <c r="K16" s="124">
        <f t="shared" si="33"/>
        <v>201336</v>
      </c>
      <c r="L16" s="124">
        <f t="shared" si="33"/>
        <v>201336</v>
      </c>
      <c r="M16" s="124">
        <f t="shared" si="33"/>
        <v>201336</v>
      </c>
      <c r="N16" s="124">
        <f t="shared" si="33"/>
        <v>201336</v>
      </c>
      <c r="O16" s="124">
        <f t="shared" si="33"/>
        <v>201336</v>
      </c>
      <c r="P16" s="124">
        <f>SUM(C16:O16)</f>
        <v>2088024.02</v>
      </c>
      <c r="Q16" s="124">
        <f t="shared" ref="Q16:AB18" si="34">ROUND(Q$11*$C16,0)</f>
        <v>246000</v>
      </c>
      <c r="R16" s="124">
        <f t="shared" si="34"/>
        <v>246000</v>
      </c>
      <c r="S16" s="124">
        <f t="shared" si="34"/>
        <v>246000</v>
      </c>
      <c r="T16" s="124">
        <f t="shared" si="34"/>
        <v>246000</v>
      </c>
      <c r="U16" s="124">
        <f t="shared" si="34"/>
        <v>246000</v>
      </c>
      <c r="V16" s="124">
        <f t="shared" si="34"/>
        <v>246000</v>
      </c>
      <c r="W16" s="124">
        <f t="shared" si="34"/>
        <v>312000</v>
      </c>
      <c r="X16" s="124">
        <f t="shared" si="34"/>
        <v>312000</v>
      </c>
      <c r="Y16" s="124">
        <f t="shared" si="34"/>
        <v>312000</v>
      </c>
      <c r="Z16" s="124">
        <f t="shared" si="34"/>
        <v>312000</v>
      </c>
      <c r="AA16" s="124">
        <f t="shared" si="34"/>
        <v>312000</v>
      </c>
      <c r="AB16" s="124">
        <f t="shared" si="34"/>
        <v>312000</v>
      </c>
      <c r="AC16" s="124">
        <f>SUM(P16:AB16)</f>
        <v>5436024.0199999996</v>
      </c>
      <c r="AD16" s="124">
        <f t="shared" ref="AD16:AS18" si="35">ROUND(AD$11*$C16,0)</f>
        <v>363000</v>
      </c>
      <c r="AE16" s="124">
        <f t="shared" si="35"/>
        <v>363000</v>
      </c>
      <c r="AF16" s="124">
        <f t="shared" si="35"/>
        <v>363000</v>
      </c>
      <c r="AG16" s="124">
        <f t="shared" si="35"/>
        <v>363000</v>
      </c>
      <c r="AH16" s="124">
        <f t="shared" si="35"/>
        <v>363000</v>
      </c>
      <c r="AI16" s="124">
        <f t="shared" si="35"/>
        <v>363000</v>
      </c>
      <c r="AJ16" s="124">
        <f t="shared" si="35"/>
        <v>363000</v>
      </c>
      <c r="AK16" s="124">
        <f t="shared" si="35"/>
        <v>363000</v>
      </c>
      <c r="AL16" s="124">
        <f t="shared" si="35"/>
        <v>363000</v>
      </c>
      <c r="AM16" s="124">
        <f t="shared" si="35"/>
        <v>363000</v>
      </c>
      <c r="AN16" s="124">
        <f t="shared" si="35"/>
        <v>363000</v>
      </c>
      <c r="AO16" s="124">
        <f t="shared" si="35"/>
        <v>363000</v>
      </c>
      <c r="AP16" s="124">
        <f>SUM(AC16:AO16)</f>
        <v>9792024.0199999996</v>
      </c>
      <c r="AQ16" s="240">
        <f t="shared" si="35"/>
        <v>373000</v>
      </c>
      <c r="AR16" s="124">
        <f t="shared" si="35"/>
        <v>373000</v>
      </c>
      <c r="AS16" s="124">
        <f t="shared" si="35"/>
        <v>373000</v>
      </c>
      <c r="AT16" s="124">
        <f t="shared" ref="AQ16:BB18" si="36">ROUND(AT$11*$C16,0)</f>
        <v>373000</v>
      </c>
      <c r="AU16" s="124">
        <f t="shared" si="36"/>
        <v>373000</v>
      </c>
      <c r="AV16" s="124">
        <f t="shared" si="36"/>
        <v>373000</v>
      </c>
      <c r="AW16" s="124">
        <f t="shared" si="36"/>
        <v>373000</v>
      </c>
      <c r="AX16" s="124">
        <f t="shared" si="36"/>
        <v>373000</v>
      </c>
      <c r="AY16" s="124">
        <f t="shared" si="36"/>
        <v>373000</v>
      </c>
      <c r="AZ16" s="124">
        <f t="shared" si="36"/>
        <v>373000</v>
      </c>
      <c r="BA16" s="124">
        <f t="shared" si="36"/>
        <v>373000</v>
      </c>
      <c r="BB16" s="124">
        <f t="shared" si="36"/>
        <v>373000</v>
      </c>
      <c r="BC16" s="124">
        <f>SUM(AP16:BB16)</f>
        <v>14268024.02</v>
      </c>
      <c r="BD16" s="240">
        <f t="shared" ref="BD16:BO18" si="37">ROUND(BD$11*$C16,0)</f>
        <v>383000</v>
      </c>
      <c r="BE16" s="124">
        <f t="shared" si="37"/>
        <v>383000</v>
      </c>
      <c r="BF16" s="124">
        <f t="shared" si="37"/>
        <v>383000</v>
      </c>
      <c r="BG16" s="124">
        <f t="shared" si="37"/>
        <v>383000</v>
      </c>
      <c r="BH16" s="124">
        <f t="shared" si="37"/>
        <v>383000</v>
      </c>
      <c r="BI16" s="124">
        <f t="shared" si="37"/>
        <v>383000</v>
      </c>
      <c r="BJ16" s="124">
        <f t="shared" si="37"/>
        <v>383000</v>
      </c>
      <c r="BK16" s="124">
        <f t="shared" si="37"/>
        <v>383000</v>
      </c>
      <c r="BL16" s="124">
        <f t="shared" si="37"/>
        <v>383000</v>
      </c>
      <c r="BM16" s="124">
        <f t="shared" si="37"/>
        <v>383000</v>
      </c>
      <c r="BN16" s="124">
        <f t="shared" si="37"/>
        <v>383000</v>
      </c>
      <c r="BO16" s="124">
        <f t="shared" si="37"/>
        <v>383000</v>
      </c>
      <c r="BP16" s="125">
        <f>SUM(BC16:BO16)</f>
        <v>18864024.02</v>
      </c>
    </row>
    <row r="17" spans="1:68" x14ac:dyDescent="0.25">
      <c r="A17" s="376"/>
      <c r="B17" s="58" t="s">
        <v>68</v>
      </c>
      <c r="C17" s="62">
        <v>0.03</v>
      </c>
      <c r="D17" s="59">
        <f t="shared" si="33"/>
        <v>220002</v>
      </c>
      <c r="E17" s="59">
        <f t="shared" si="33"/>
        <v>220002</v>
      </c>
      <c r="F17" s="59">
        <f t="shared" si="33"/>
        <v>220002</v>
      </c>
      <c r="G17" s="59">
        <f t="shared" si="33"/>
        <v>220002</v>
      </c>
      <c r="H17" s="59">
        <f t="shared" si="33"/>
        <v>220002</v>
      </c>
      <c r="I17" s="59">
        <f t="shared" si="33"/>
        <v>220002</v>
      </c>
      <c r="J17" s="59">
        <f t="shared" si="33"/>
        <v>302004</v>
      </c>
      <c r="K17" s="59">
        <f t="shared" si="33"/>
        <v>302004</v>
      </c>
      <c r="L17" s="59">
        <f t="shared" si="33"/>
        <v>302004</v>
      </c>
      <c r="M17" s="59">
        <f t="shared" si="33"/>
        <v>302004</v>
      </c>
      <c r="N17" s="59">
        <f t="shared" si="33"/>
        <v>302004</v>
      </c>
      <c r="O17" s="59">
        <f t="shared" si="33"/>
        <v>302004</v>
      </c>
      <c r="P17" s="59">
        <f>SUM(C17:O17)</f>
        <v>3132036.0300000003</v>
      </c>
      <c r="Q17" s="59">
        <f t="shared" si="34"/>
        <v>369000</v>
      </c>
      <c r="R17" s="59">
        <f t="shared" si="34"/>
        <v>369000</v>
      </c>
      <c r="S17" s="59">
        <f t="shared" si="34"/>
        <v>369000</v>
      </c>
      <c r="T17" s="59">
        <f t="shared" si="34"/>
        <v>369000</v>
      </c>
      <c r="U17" s="59">
        <f t="shared" si="34"/>
        <v>369000</v>
      </c>
      <c r="V17" s="59">
        <f t="shared" si="34"/>
        <v>369000</v>
      </c>
      <c r="W17" s="59">
        <f t="shared" si="34"/>
        <v>468000</v>
      </c>
      <c r="X17" s="59">
        <f t="shared" si="34"/>
        <v>468000</v>
      </c>
      <c r="Y17" s="59">
        <f t="shared" si="34"/>
        <v>468000</v>
      </c>
      <c r="Z17" s="59">
        <f t="shared" si="34"/>
        <v>468000</v>
      </c>
      <c r="AA17" s="59">
        <f t="shared" si="34"/>
        <v>468000</v>
      </c>
      <c r="AB17" s="59">
        <f t="shared" si="34"/>
        <v>468000</v>
      </c>
      <c r="AC17" s="59">
        <f>SUM(P17:AB17)</f>
        <v>8154036.0300000003</v>
      </c>
      <c r="AD17" s="59">
        <f t="shared" si="35"/>
        <v>544500</v>
      </c>
      <c r="AE17" s="59">
        <f t="shared" si="35"/>
        <v>544500</v>
      </c>
      <c r="AF17" s="59">
        <f t="shared" si="35"/>
        <v>544500</v>
      </c>
      <c r="AG17" s="59">
        <f t="shared" si="35"/>
        <v>544500</v>
      </c>
      <c r="AH17" s="59">
        <f t="shared" si="35"/>
        <v>544500</v>
      </c>
      <c r="AI17" s="59">
        <f t="shared" si="35"/>
        <v>544500</v>
      </c>
      <c r="AJ17" s="59">
        <f t="shared" si="35"/>
        <v>544500</v>
      </c>
      <c r="AK17" s="59">
        <f t="shared" si="35"/>
        <v>544500</v>
      </c>
      <c r="AL17" s="59">
        <f t="shared" si="35"/>
        <v>544500</v>
      </c>
      <c r="AM17" s="59">
        <f t="shared" si="35"/>
        <v>544500</v>
      </c>
      <c r="AN17" s="59">
        <f t="shared" si="35"/>
        <v>544500</v>
      </c>
      <c r="AO17" s="59">
        <f t="shared" si="35"/>
        <v>544500</v>
      </c>
      <c r="AP17" s="59">
        <f>SUM(AC17:AO17)</f>
        <v>14688036.030000001</v>
      </c>
      <c r="AQ17" s="239">
        <f t="shared" si="36"/>
        <v>559500</v>
      </c>
      <c r="AR17" s="59">
        <f t="shared" si="36"/>
        <v>559500</v>
      </c>
      <c r="AS17" s="59">
        <f t="shared" si="36"/>
        <v>559500</v>
      </c>
      <c r="AT17" s="59">
        <f t="shared" si="36"/>
        <v>559500</v>
      </c>
      <c r="AU17" s="59">
        <f t="shared" si="36"/>
        <v>559500</v>
      </c>
      <c r="AV17" s="59">
        <f t="shared" si="36"/>
        <v>559500</v>
      </c>
      <c r="AW17" s="59">
        <f t="shared" si="36"/>
        <v>559500</v>
      </c>
      <c r="AX17" s="59">
        <f t="shared" si="36"/>
        <v>559500</v>
      </c>
      <c r="AY17" s="59">
        <f t="shared" si="36"/>
        <v>559500</v>
      </c>
      <c r="AZ17" s="59">
        <f t="shared" si="36"/>
        <v>559500</v>
      </c>
      <c r="BA17" s="59">
        <f t="shared" si="36"/>
        <v>559500</v>
      </c>
      <c r="BB17" s="59">
        <f t="shared" si="36"/>
        <v>559500</v>
      </c>
      <c r="BC17" s="59">
        <f>SUM(AP17:BB17)</f>
        <v>21402036.030000001</v>
      </c>
      <c r="BD17" s="239">
        <f t="shared" si="37"/>
        <v>574500</v>
      </c>
      <c r="BE17" s="59">
        <f t="shared" si="37"/>
        <v>574500</v>
      </c>
      <c r="BF17" s="59">
        <f t="shared" si="37"/>
        <v>574500</v>
      </c>
      <c r="BG17" s="59">
        <f t="shared" si="37"/>
        <v>574500</v>
      </c>
      <c r="BH17" s="59">
        <f t="shared" si="37"/>
        <v>574500</v>
      </c>
      <c r="BI17" s="59">
        <f t="shared" si="37"/>
        <v>574500</v>
      </c>
      <c r="BJ17" s="59">
        <f t="shared" si="37"/>
        <v>574500</v>
      </c>
      <c r="BK17" s="59">
        <f t="shared" si="37"/>
        <v>574500</v>
      </c>
      <c r="BL17" s="59">
        <f t="shared" si="37"/>
        <v>574500</v>
      </c>
      <c r="BM17" s="59">
        <f t="shared" si="37"/>
        <v>574500</v>
      </c>
      <c r="BN17" s="59">
        <f t="shared" si="37"/>
        <v>574500</v>
      </c>
      <c r="BO17" s="59">
        <f t="shared" si="37"/>
        <v>574500</v>
      </c>
      <c r="BP17" s="90">
        <f>SUM(BC17:BO17)</f>
        <v>28296036.030000001</v>
      </c>
    </row>
    <row r="18" spans="1:68" x14ac:dyDescent="0.25">
      <c r="A18" s="376"/>
      <c r="B18" s="58" t="s">
        <v>69</v>
      </c>
      <c r="C18" s="62">
        <v>0.04</v>
      </c>
      <c r="D18" s="59">
        <f t="shared" si="33"/>
        <v>293336</v>
      </c>
      <c r="E18" s="59">
        <f t="shared" si="33"/>
        <v>293336</v>
      </c>
      <c r="F18" s="59">
        <f t="shared" si="33"/>
        <v>293336</v>
      </c>
      <c r="G18" s="59">
        <f t="shared" si="33"/>
        <v>293336</v>
      </c>
      <c r="H18" s="59">
        <f t="shared" si="33"/>
        <v>293336</v>
      </c>
      <c r="I18" s="59">
        <f t="shared" si="33"/>
        <v>293336</v>
      </c>
      <c r="J18" s="59">
        <f t="shared" si="33"/>
        <v>402672</v>
      </c>
      <c r="K18" s="59">
        <f t="shared" si="33"/>
        <v>402672</v>
      </c>
      <c r="L18" s="59">
        <f t="shared" si="33"/>
        <v>402672</v>
      </c>
      <c r="M18" s="59">
        <f t="shared" si="33"/>
        <v>402672</v>
      </c>
      <c r="N18" s="59">
        <f t="shared" si="33"/>
        <v>402672</v>
      </c>
      <c r="O18" s="59">
        <f t="shared" si="33"/>
        <v>402672</v>
      </c>
      <c r="P18" s="59">
        <f>SUM(C18:O18)</f>
        <v>4176048.04</v>
      </c>
      <c r="Q18" s="59">
        <f t="shared" si="34"/>
        <v>492000</v>
      </c>
      <c r="R18" s="59">
        <f t="shared" si="34"/>
        <v>492000</v>
      </c>
      <c r="S18" s="59">
        <f t="shared" si="34"/>
        <v>492000</v>
      </c>
      <c r="T18" s="59">
        <f t="shared" si="34"/>
        <v>492000</v>
      </c>
      <c r="U18" s="59">
        <f t="shared" si="34"/>
        <v>492000</v>
      </c>
      <c r="V18" s="59">
        <f t="shared" si="34"/>
        <v>492000</v>
      </c>
      <c r="W18" s="59">
        <f t="shared" si="34"/>
        <v>624000</v>
      </c>
      <c r="X18" s="59">
        <f t="shared" si="34"/>
        <v>624000</v>
      </c>
      <c r="Y18" s="59">
        <f t="shared" si="34"/>
        <v>624000</v>
      </c>
      <c r="Z18" s="59">
        <f t="shared" si="34"/>
        <v>624000</v>
      </c>
      <c r="AA18" s="59">
        <f t="shared" si="34"/>
        <v>624000</v>
      </c>
      <c r="AB18" s="59">
        <f t="shared" si="34"/>
        <v>624000</v>
      </c>
      <c r="AC18" s="59">
        <f>SUM(P18:AB18)</f>
        <v>10872048.039999999</v>
      </c>
      <c r="AD18" s="59">
        <f t="shared" si="35"/>
        <v>726000</v>
      </c>
      <c r="AE18" s="59">
        <f t="shared" si="35"/>
        <v>726000</v>
      </c>
      <c r="AF18" s="59">
        <f t="shared" si="35"/>
        <v>726000</v>
      </c>
      <c r="AG18" s="59">
        <f t="shared" si="35"/>
        <v>726000</v>
      </c>
      <c r="AH18" s="59">
        <f t="shared" si="35"/>
        <v>726000</v>
      </c>
      <c r="AI18" s="59">
        <f t="shared" si="35"/>
        <v>726000</v>
      </c>
      <c r="AJ18" s="59">
        <f t="shared" si="35"/>
        <v>726000</v>
      </c>
      <c r="AK18" s="59">
        <f t="shared" si="35"/>
        <v>726000</v>
      </c>
      <c r="AL18" s="59">
        <f t="shared" si="35"/>
        <v>726000</v>
      </c>
      <c r="AM18" s="59">
        <f t="shared" si="35"/>
        <v>726000</v>
      </c>
      <c r="AN18" s="59">
        <f t="shared" si="35"/>
        <v>726000</v>
      </c>
      <c r="AO18" s="59">
        <f t="shared" si="35"/>
        <v>726000</v>
      </c>
      <c r="AP18" s="59">
        <f>SUM(AC18:AO18)</f>
        <v>19584048.039999999</v>
      </c>
      <c r="AQ18" s="239">
        <f t="shared" si="36"/>
        <v>746000</v>
      </c>
      <c r="AR18" s="59">
        <f t="shared" si="36"/>
        <v>746000</v>
      </c>
      <c r="AS18" s="59">
        <f t="shared" si="36"/>
        <v>746000</v>
      </c>
      <c r="AT18" s="59">
        <f t="shared" si="36"/>
        <v>746000</v>
      </c>
      <c r="AU18" s="59">
        <f t="shared" si="36"/>
        <v>746000</v>
      </c>
      <c r="AV18" s="59">
        <f t="shared" si="36"/>
        <v>746000</v>
      </c>
      <c r="AW18" s="59">
        <f t="shared" si="36"/>
        <v>746000</v>
      </c>
      <c r="AX18" s="59">
        <f t="shared" si="36"/>
        <v>746000</v>
      </c>
      <c r="AY18" s="59">
        <f t="shared" si="36"/>
        <v>746000</v>
      </c>
      <c r="AZ18" s="59">
        <f t="shared" si="36"/>
        <v>746000</v>
      </c>
      <c r="BA18" s="59">
        <f t="shared" si="36"/>
        <v>746000</v>
      </c>
      <c r="BB18" s="59">
        <f t="shared" si="36"/>
        <v>746000</v>
      </c>
      <c r="BC18" s="59">
        <f>SUM(AP18:BB18)</f>
        <v>28536048.039999999</v>
      </c>
      <c r="BD18" s="239">
        <f t="shared" si="37"/>
        <v>766000</v>
      </c>
      <c r="BE18" s="59">
        <f t="shared" si="37"/>
        <v>766000</v>
      </c>
      <c r="BF18" s="59">
        <f t="shared" si="37"/>
        <v>766000</v>
      </c>
      <c r="BG18" s="59">
        <f t="shared" si="37"/>
        <v>766000</v>
      </c>
      <c r="BH18" s="59">
        <f t="shared" si="37"/>
        <v>766000</v>
      </c>
      <c r="BI18" s="59">
        <f t="shared" si="37"/>
        <v>766000</v>
      </c>
      <c r="BJ18" s="59">
        <f t="shared" si="37"/>
        <v>766000</v>
      </c>
      <c r="BK18" s="59">
        <f t="shared" si="37"/>
        <v>766000</v>
      </c>
      <c r="BL18" s="59">
        <f t="shared" si="37"/>
        <v>766000</v>
      </c>
      <c r="BM18" s="59">
        <f t="shared" si="37"/>
        <v>766000</v>
      </c>
      <c r="BN18" s="59">
        <f t="shared" si="37"/>
        <v>766000</v>
      </c>
      <c r="BO18" s="59">
        <f t="shared" si="37"/>
        <v>766000</v>
      </c>
      <c r="BP18" s="90">
        <f>SUM(BC18:BO18)</f>
        <v>37728048.039999999</v>
      </c>
    </row>
    <row r="19" spans="1:68" ht="15.75" thickBot="1" x14ac:dyDescent="0.3">
      <c r="A19" s="376"/>
      <c r="B19" s="118" t="s">
        <v>200</v>
      </c>
      <c r="C19" s="139">
        <v>0</v>
      </c>
      <c r="D19" s="119">
        <f>SUM(D16:D18)</f>
        <v>660006</v>
      </c>
      <c r="E19" s="119">
        <f t="shared" ref="E19:O19" si="38">SUM(E16:E18)</f>
        <v>660006</v>
      </c>
      <c r="F19" s="119">
        <f t="shared" si="38"/>
        <v>660006</v>
      </c>
      <c r="G19" s="119">
        <f t="shared" si="38"/>
        <v>660006</v>
      </c>
      <c r="H19" s="119">
        <f t="shared" si="38"/>
        <v>660006</v>
      </c>
      <c r="I19" s="119">
        <f t="shared" si="38"/>
        <v>660006</v>
      </c>
      <c r="J19" s="119">
        <f t="shared" si="38"/>
        <v>906012</v>
      </c>
      <c r="K19" s="119">
        <f t="shared" si="38"/>
        <v>906012</v>
      </c>
      <c r="L19" s="119">
        <f t="shared" si="38"/>
        <v>906012</v>
      </c>
      <c r="M19" s="119">
        <f t="shared" si="38"/>
        <v>906012</v>
      </c>
      <c r="N19" s="119">
        <f t="shared" si="38"/>
        <v>906012</v>
      </c>
      <c r="O19" s="119">
        <f t="shared" si="38"/>
        <v>906012</v>
      </c>
      <c r="P19" s="119">
        <f>SUM(D19:O19)</f>
        <v>9396108</v>
      </c>
      <c r="Q19" s="119">
        <f t="shared" ref="Q19:AB19" si="39">SUM(Q16:Q18)</f>
        <v>1107000</v>
      </c>
      <c r="R19" s="119">
        <f t="shared" si="39"/>
        <v>1107000</v>
      </c>
      <c r="S19" s="119">
        <f t="shared" si="39"/>
        <v>1107000</v>
      </c>
      <c r="T19" s="119">
        <f t="shared" si="39"/>
        <v>1107000</v>
      </c>
      <c r="U19" s="119">
        <f t="shared" si="39"/>
        <v>1107000</v>
      </c>
      <c r="V19" s="119">
        <f t="shared" si="39"/>
        <v>1107000</v>
      </c>
      <c r="W19" s="119">
        <f t="shared" si="39"/>
        <v>1404000</v>
      </c>
      <c r="X19" s="119">
        <f t="shared" si="39"/>
        <v>1404000</v>
      </c>
      <c r="Y19" s="119">
        <f t="shared" si="39"/>
        <v>1404000</v>
      </c>
      <c r="Z19" s="119">
        <f t="shared" si="39"/>
        <v>1404000</v>
      </c>
      <c r="AA19" s="119">
        <f t="shared" si="39"/>
        <v>1404000</v>
      </c>
      <c r="AB19" s="119">
        <f t="shared" si="39"/>
        <v>1404000</v>
      </c>
      <c r="AC19" s="120">
        <f>SUM(Q19:AB19)</f>
        <v>15066000</v>
      </c>
      <c r="AD19" s="119">
        <f t="shared" ref="AD19:AO19" si="40">SUM(AD16:AD18)</f>
        <v>1633500</v>
      </c>
      <c r="AE19" s="119">
        <f t="shared" si="40"/>
        <v>1633500</v>
      </c>
      <c r="AF19" s="119">
        <f t="shared" si="40"/>
        <v>1633500</v>
      </c>
      <c r="AG19" s="119">
        <f t="shared" si="40"/>
        <v>1633500</v>
      </c>
      <c r="AH19" s="119">
        <f t="shared" si="40"/>
        <v>1633500</v>
      </c>
      <c r="AI19" s="119">
        <f t="shared" si="40"/>
        <v>1633500</v>
      </c>
      <c r="AJ19" s="119">
        <f t="shared" si="40"/>
        <v>1633500</v>
      </c>
      <c r="AK19" s="119">
        <f t="shared" si="40"/>
        <v>1633500</v>
      </c>
      <c r="AL19" s="119">
        <f t="shared" si="40"/>
        <v>1633500</v>
      </c>
      <c r="AM19" s="119">
        <f t="shared" si="40"/>
        <v>1633500</v>
      </c>
      <c r="AN19" s="119">
        <f t="shared" si="40"/>
        <v>1633500</v>
      </c>
      <c r="AO19" s="119">
        <f t="shared" si="40"/>
        <v>1633500</v>
      </c>
      <c r="AP19" s="120">
        <f>SUM(AD19:AO19)</f>
        <v>19602000</v>
      </c>
      <c r="AQ19" s="241">
        <f t="shared" ref="AQ19:BB19" si="41">SUM(AQ16:AQ18)</f>
        <v>1678500</v>
      </c>
      <c r="AR19" s="119">
        <f t="shared" si="41"/>
        <v>1678500</v>
      </c>
      <c r="AS19" s="119">
        <f t="shared" si="41"/>
        <v>1678500</v>
      </c>
      <c r="AT19" s="119">
        <f t="shared" si="41"/>
        <v>1678500</v>
      </c>
      <c r="AU19" s="119">
        <f t="shared" si="41"/>
        <v>1678500</v>
      </c>
      <c r="AV19" s="119">
        <f t="shared" si="41"/>
        <v>1678500</v>
      </c>
      <c r="AW19" s="119">
        <f t="shared" si="41"/>
        <v>1678500</v>
      </c>
      <c r="AX19" s="119">
        <f t="shared" si="41"/>
        <v>1678500</v>
      </c>
      <c r="AY19" s="119">
        <f t="shared" si="41"/>
        <v>1678500</v>
      </c>
      <c r="AZ19" s="119">
        <f t="shared" si="41"/>
        <v>1678500</v>
      </c>
      <c r="BA19" s="119">
        <f t="shared" si="41"/>
        <v>1678500</v>
      </c>
      <c r="BB19" s="119">
        <f t="shared" si="41"/>
        <v>1678500</v>
      </c>
      <c r="BC19" s="120">
        <f>SUM(AQ19:BB19)</f>
        <v>20142000</v>
      </c>
      <c r="BD19" s="241">
        <f t="shared" ref="BD19:BO19" si="42">SUM(BD16:BD18)</f>
        <v>1723500</v>
      </c>
      <c r="BE19" s="119">
        <f t="shared" si="42"/>
        <v>1723500</v>
      </c>
      <c r="BF19" s="119">
        <f t="shared" si="42"/>
        <v>1723500</v>
      </c>
      <c r="BG19" s="119">
        <f t="shared" si="42"/>
        <v>1723500</v>
      </c>
      <c r="BH19" s="119">
        <f t="shared" si="42"/>
        <v>1723500</v>
      </c>
      <c r="BI19" s="119">
        <f t="shared" si="42"/>
        <v>1723500</v>
      </c>
      <c r="BJ19" s="119">
        <f t="shared" si="42"/>
        <v>1723500</v>
      </c>
      <c r="BK19" s="119">
        <f t="shared" si="42"/>
        <v>1723500</v>
      </c>
      <c r="BL19" s="119">
        <f t="shared" si="42"/>
        <v>1723500</v>
      </c>
      <c r="BM19" s="119">
        <f t="shared" si="42"/>
        <v>1723500</v>
      </c>
      <c r="BN19" s="119">
        <f t="shared" si="42"/>
        <v>1723500</v>
      </c>
      <c r="BO19" s="119">
        <f t="shared" si="42"/>
        <v>1723500</v>
      </c>
      <c r="BP19" s="121">
        <f>SUM(BD19:BO19)</f>
        <v>20682000</v>
      </c>
    </row>
    <row r="20" spans="1:68" ht="15" customHeight="1" x14ac:dyDescent="0.25">
      <c r="A20" s="378" t="s">
        <v>75</v>
      </c>
      <c r="B20" s="143" t="s">
        <v>71</v>
      </c>
      <c r="C20" s="144">
        <v>8.3299999999999999E-2</v>
      </c>
      <c r="D20" s="128">
        <f t="shared" ref="D20:S23" si="43">ROUND(D$11*$C20,0)</f>
        <v>610872</v>
      </c>
      <c r="E20" s="128">
        <f t="shared" si="43"/>
        <v>610872</v>
      </c>
      <c r="F20" s="128">
        <f t="shared" si="43"/>
        <v>610872</v>
      </c>
      <c r="G20" s="128">
        <f t="shared" si="43"/>
        <v>610872</v>
      </c>
      <c r="H20" s="128">
        <f t="shared" si="43"/>
        <v>610872</v>
      </c>
      <c r="I20" s="128">
        <f t="shared" si="43"/>
        <v>610872</v>
      </c>
      <c r="J20" s="128">
        <f t="shared" si="43"/>
        <v>838564</v>
      </c>
      <c r="K20" s="128">
        <f t="shared" si="43"/>
        <v>838564</v>
      </c>
      <c r="L20" s="128">
        <f t="shared" si="43"/>
        <v>838564</v>
      </c>
      <c r="M20" s="128">
        <f t="shared" si="43"/>
        <v>838564</v>
      </c>
      <c r="N20" s="128">
        <f t="shared" si="43"/>
        <v>838564</v>
      </c>
      <c r="O20" s="128">
        <f t="shared" si="43"/>
        <v>838564</v>
      </c>
      <c r="P20" s="128">
        <f>SUM(C20:O20)</f>
        <v>8696616.0833000001</v>
      </c>
      <c r="Q20" s="128">
        <f t="shared" si="43"/>
        <v>1024590</v>
      </c>
      <c r="R20" s="128">
        <f t="shared" si="43"/>
        <v>1024590</v>
      </c>
      <c r="S20" s="128">
        <f t="shared" si="43"/>
        <v>1024590</v>
      </c>
      <c r="T20" s="128">
        <f t="shared" ref="Q20:AF23" si="44">ROUND(T$11*$C20,0)</f>
        <v>1024590</v>
      </c>
      <c r="U20" s="128">
        <f t="shared" si="44"/>
        <v>1024590</v>
      </c>
      <c r="V20" s="128">
        <f t="shared" si="44"/>
        <v>1024590</v>
      </c>
      <c r="W20" s="128">
        <f t="shared" si="44"/>
        <v>1299480</v>
      </c>
      <c r="X20" s="128">
        <f t="shared" si="44"/>
        <v>1299480</v>
      </c>
      <c r="Y20" s="128">
        <f t="shared" si="44"/>
        <v>1299480</v>
      </c>
      <c r="Z20" s="128">
        <f t="shared" si="44"/>
        <v>1299480</v>
      </c>
      <c r="AA20" s="128">
        <f t="shared" si="44"/>
        <v>1299480</v>
      </c>
      <c r="AB20" s="128">
        <f t="shared" si="44"/>
        <v>1299480</v>
      </c>
      <c r="AC20" s="128">
        <f>SUM(P20:AB20)</f>
        <v>22641036.083300002</v>
      </c>
      <c r="AD20" s="128">
        <f t="shared" si="44"/>
        <v>1511895</v>
      </c>
      <c r="AE20" s="128">
        <f t="shared" si="44"/>
        <v>1511895</v>
      </c>
      <c r="AF20" s="128">
        <f t="shared" si="44"/>
        <v>1511895</v>
      </c>
      <c r="AG20" s="128">
        <f t="shared" ref="AD20:AO23" si="45">ROUND(AG$11*$C20,0)</f>
        <v>1511895</v>
      </c>
      <c r="AH20" s="128">
        <f t="shared" si="45"/>
        <v>1511895</v>
      </c>
      <c r="AI20" s="128">
        <f t="shared" si="45"/>
        <v>1511895</v>
      </c>
      <c r="AJ20" s="128">
        <f t="shared" si="45"/>
        <v>1511895</v>
      </c>
      <c r="AK20" s="128">
        <f t="shared" si="45"/>
        <v>1511895</v>
      </c>
      <c r="AL20" s="128">
        <f t="shared" si="45"/>
        <v>1511895</v>
      </c>
      <c r="AM20" s="128">
        <f t="shared" si="45"/>
        <v>1511895</v>
      </c>
      <c r="AN20" s="128">
        <f t="shared" si="45"/>
        <v>1511895</v>
      </c>
      <c r="AO20" s="128">
        <f t="shared" si="45"/>
        <v>1511895</v>
      </c>
      <c r="AP20" s="128">
        <f>SUM(AC20:AO20)</f>
        <v>40783776.083300002</v>
      </c>
      <c r="AQ20" s="238">
        <f t="shared" ref="AQ20:BF23" si="46">ROUND(AQ$11*$C20,0)</f>
        <v>1553545</v>
      </c>
      <c r="AR20" s="128">
        <f t="shared" si="46"/>
        <v>1553545</v>
      </c>
      <c r="AS20" s="128">
        <f t="shared" si="46"/>
        <v>1553545</v>
      </c>
      <c r="AT20" s="128">
        <f t="shared" si="46"/>
        <v>1553545</v>
      </c>
      <c r="AU20" s="128">
        <f t="shared" si="46"/>
        <v>1553545</v>
      </c>
      <c r="AV20" s="128">
        <f t="shared" si="46"/>
        <v>1553545</v>
      </c>
      <c r="AW20" s="128">
        <f t="shared" si="46"/>
        <v>1553545</v>
      </c>
      <c r="AX20" s="128">
        <f t="shared" si="46"/>
        <v>1553545</v>
      </c>
      <c r="AY20" s="128">
        <f t="shared" si="46"/>
        <v>1553545</v>
      </c>
      <c r="AZ20" s="128">
        <f t="shared" si="46"/>
        <v>1553545</v>
      </c>
      <c r="BA20" s="128">
        <f t="shared" si="46"/>
        <v>1553545</v>
      </c>
      <c r="BB20" s="128">
        <f t="shared" si="46"/>
        <v>1553545</v>
      </c>
      <c r="BC20" s="128">
        <f>SUM(AP20:BB20)</f>
        <v>59426316.083300002</v>
      </c>
      <c r="BD20" s="238">
        <f t="shared" si="46"/>
        <v>1595195</v>
      </c>
      <c r="BE20" s="128">
        <f t="shared" si="46"/>
        <v>1595195</v>
      </c>
      <c r="BF20" s="128">
        <f t="shared" si="46"/>
        <v>1595195</v>
      </c>
      <c r="BG20" s="128">
        <f t="shared" ref="BD20:BO23" si="47">ROUND(BG$11*$C20,0)</f>
        <v>1595195</v>
      </c>
      <c r="BH20" s="128">
        <f t="shared" si="47"/>
        <v>1595195</v>
      </c>
      <c r="BI20" s="128">
        <f t="shared" si="47"/>
        <v>1595195</v>
      </c>
      <c r="BJ20" s="128">
        <f t="shared" si="47"/>
        <v>1595195</v>
      </c>
      <c r="BK20" s="128">
        <f t="shared" si="47"/>
        <v>1595195</v>
      </c>
      <c r="BL20" s="128">
        <f t="shared" si="47"/>
        <v>1595195</v>
      </c>
      <c r="BM20" s="128">
        <f t="shared" si="47"/>
        <v>1595195</v>
      </c>
      <c r="BN20" s="128">
        <f t="shared" si="47"/>
        <v>1595195</v>
      </c>
      <c r="BO20" s="128">
        <f t="shared" si="47"/>
        <v>1595195</v>
      </c>
      <c r="BP20" s="129">
        <f>SUM(BC20:BO20)</f>
        <v>78568656.083299994</v>
      </c>
    </row>
    <row r="21" spans="1:68" x14ac:dyDescent="0.25">
      <c r="A21" s="376"/>
      <c r="B21" s="84" t="s">
        <v>72</v>
      </c>
      <c r="C21" s="87">
        <v>8.3299999999999999E-2</v>
      </c>
      <c r="D21" s="59">
        <f t="shared" si="43"/>
        <v>610872</v>
      </c>
      <c r="E21" s="59">
        <f t="shared" si="43"/>
        <v>610872</v>
      </c>
      <c r="F21" s="59">
        <f t="shared" si="43"/>
        <v>610872</v>
      </c>
      <c r="G21" s="59">
        <f t="shared" si="43"/>
        <v>610872</v>
      </c>
      <c r="H21" s="59">
        <f t="shared" si="43"/>
        <v>610872</v>
      </c>
      <c r="I21" s="59">
        <f t="shared" si="43"/>
        <v>610872</v>
      </c>
      <c r="J21" s="59">
        <f t="shared" si="43"/>
        <v>838564</v>
      </c>
      <c r="K21" s="59">
        <f t="shared" si="43"/>
        <v>838564</v>
      </c>
      <c r="L21" s="59">
        <f t="shared" si="43"/>
        <v>838564</v>
      </c>
      <c r="M21" s="59">
        <f t="shared" si="43"/>
        <v>838564</v>
      </c>
      <c r="N21" s="59">
        <f t="shared" si="43"/>
        <v>838564</v>
      </c>
      <c r="O21" s="59">
        <f t="shared" si="43"/>
        <v>838564</v>
      </c>
      <c r="P21" s="59">
        <f>SUM(C21:O21)</f>
        <v>8696616.0833000001</v>
      </c>
      <c r="Q21" s="59">
        <f t="shared" si="44"/>
        <v>1024590</v>
      </c>
      <c r="R21" s="59">
        <f t="shared" si="44"/>
        <v>1024590</v>
      </c>
      <c r="S21" s="59">
        <f t="shared" si="44"/>
        <v>1024590</v>
      </c>
      <c r="T21" s="59">
        <f t="shared" si="44"/>
        <v>1024590</v>
      </c>
      <c r="U21" s="59">
        <f t="shared" si="44"/>
        <v>1024590</v>
      </c>
      <c r="V21" s="59">
        <f t="shared" si="44"/>
        <v>1024590</v>
      </c>
      <c r="W21" s="59">
        <f t="shared" si="44"/>
        <v>1299480</v>
      </c>
      <c r="X21" s="59">
        <f t="shared" si="44"/>
        <v>1299480</v>
      </c>
      <c r="Y21" s="59">
        <f t="shared" si="44"/>
        <v>1299480</v>
      </c>
      <c r="Z21" s="59">
        <f t="shared" si="44"/>
        <v>1299480</v>
      </c>
      <c r="AA21" s="59">
        <f t="shared" si="44"/>
        <v>1299480</v>
      </c>
      <c r="AB21" s="59">
        <f t="shared" si="44"/>
        <v>1299480</v>
      </c>
      <c r="AC21" s="59">
        <f>SUM(P21:AB21)</f>
        <v>22641036.083300002</v>
      </c>
      <c r="AD21" s="59">
        <f t="shared" si="45"/>
        <v>1511895</v>
      </c>
      <c r="AE21" s="59">
        <f t="shared" si="45"/>
        <v>1511895</v>
      </c>
      <c r="AF21" s="59">
        <f t="shared" si="45"/>
        <v>1511895</v>
      </c>
      <c r="AG21" s="59">
        <f t="shared" si="45"/>
        <v>1511895</v>
      </c>
      <c r="AH21" s="59">
        <f t="shared" si="45"/>
        <v>1511895</v>
      </c>
      <c r="AI21" s="59">
        <f t="shared" si="45"/>
        <v>1511895</v>
      </c>
      <c r="AJ21" s="59">
        <f t="shared" si="45"/>
        <v>1511895</v>
      </c>
      <c r="AK21" s="59">
        <f t="shared" si="45"/>
        <v>1511895</v>
      </c>
      <c r="AL21" s="59">
        <f t="shared" si="45"/>
        <v>1511895</v>
      </c>
      <c r="AM21" s="59">
        <f t="shared" si="45"/>
        <v>1511895</v>
      </c>
      <c r="AN21" s="59">
        <f t="shared" si="45"/>
        <v>1511895</v>
      </c>
      <c r="AO21" s="59">
        <f t="shared" si="45"/>
        <v>1511895</v>
      </c>
      <c r="AP21" s="59">
        <f>SUM(AC21:AO21)</f>
        <v>40783776.083300002</v>
      </c>
      <c r="AQ21" s="239">
        <f t="shared" si="46"/>
        <v>1553545</v>
      </c>
      <c r="AR21" s="59">
        <f t="shared" si="46"/>
        <v>1553545</v>
      </c>
      <c r="AS21" s="59">
        <f t="shared" si="46"/>
        <v>1553545</v>
      </c>
      <c r="AT21" s="59">
        <f t="shared" si="46"/>
        <v>1553545</v>
      </c>
      <c r="AU21" s="59">
        <f t="shared" si="46"/>
        <v>1553545</v>
      </c>
      <c r="AV21" s="59">
        <f t="shared" si="46"/>
        <v>1553545</v>
      </c>
      <c r="AW21" s="59">
        <f t="shared" si="46"/>
        <v>1553545</v>
      </c>
      <c r="AX21" s="59">
        <f t="shared" si="46"/>
        <v>1553545</v>
      </c>
      <c r="AY21" s="59">
        <f t="shared" si="46"/>
        <v>1553545</v>
      </c>
      <c r="AZ21" s="59">
        <f t="shared" si="46"/>
        <v>1553545</v>
      </c>
      <c r="BA21" s="59">
        <f t="shared" si="46"/>
        <v>1553545</v>
      </c>
      <c r="BB21" s="59">
        <f t="shared" si="46"/>
        <v>1553545</v>
      </c>
      <c r="BC21" s="59">
        <f>SUM(AP21:BB21)</f>
        <v>59426316.083300002</v>
      </c>
      <c r="BD21" s="239">
        <f t="shared" si="47"/>
        <v>1595195</v>
      </c>
      <c r="BE21" s="59">
        <f t="shared" si="47"/>
        <v>1595195</v>
      </c>
      <c r="BF21" s="59">
        <f t="shared" si="47"/>
        <v>1595195</v>
      </c>
      <c r="BG21" s="59">
        <f t="shared" si="47"/>
        <v>1595195</v>
      </c>
      <c r="BH21" s="59">
        <f t="shared" si="47"/>
        <v>1595195</v>
      </c>
      <c r="BI21" s="59">
        <f t="shared" si="47"/>
        <v>1595195</v>
      </c>
      <c r="BJ21" s="59">
        <f t="shared" si="47"/>
        <v>1595195</v>
      </c>
      <c r="BK21" s="59">
        <f t="shared" si="47"/>
        <v>1595195</v>
      </c>
      <c r="BL21" s="59">
        <f t="shared" si="47"/>
        <v>1595195</v>
      </c>
      <c r="BM21" s="59">
        <f t="shared" si="47"/>
        <v>1595195</v>
      </c>
      <c r="BN21" s="59">
        <f t="shared" si="47"/>
        <v>1595195</v>
      </c>
      <c r="BO21" s="59">
        <f t="shared" si="47"/>
        <v>1595195</v>
      </c>
      <c r="BP21" s="90">
        <f>SUM(BC21:BO21)</f>
        <v>78568656.083299994</v>
      </c>
    </row>
    <row r="22" spans="1:68" x14ac:dyDescent="0.25">
      <c r="A22" s="376"/>
      <c r="B22" s="84" t="s">
        <v>73</v>
      </c>
      <c r="C22" s="87">
        <v>4.1700000000000001E-2</v>
      </c>
      <c r="D22" s="59">
        <f t="shared" si="43"/>
        <v>305803</v>
      </c>
      <c r="E22" s="59">
        <f t="shared" si="43"/>
        <v>305803</v>
      </c>
      <c r="F22" s="59">
        <f t="shared" si="43"/>
        <v>305803</v>
      </c>
      <c r="G22" s="59">
        <f t="shared" si="43"/>
        <v>305803</v>
      </c>
      <c r="H22" s="59">
        <f t="shared" si="43"/>
        <v>305803</v>
      </c>
      <c r="I22" s="59">
        <f t="shared" si="43"/>
        <v>305803</v>
      </c>
      <c r="J22" s="59">
        <f t="shared" si="43"/>
        <v>419786</v>
      </c>
      <c r="K22" s="59">
        <f t="shared" si="43"/>
        <v>419786</v>
      </c>
      <c r="L22" s="59">
        <f t="shared" si="43"/>
        <v>419786</v>
      </c>
      <c r="M22" s="59">
        <f t="shared" si="43"/>
        <v>419786</v>
      </c>
      <c r="N22" s="59">
        <f t="shared" si="43"/>
        <v>419786</v>
      </c>
      <c r="O22" s="59">
        <f t="shared" si="43"/>
        <v>419786</v>
      </c>
      <c r="P22" s="59">
        <f>SUM(C22:O22)</f>
        <v>4353534.0416999999</v>
      </c>
      <c r="Q22" s="59">
        <f t="shared" si="44"/>
        <v>512910</v>
      </c>
      <c r="R22" s="59">
        <f t="shared" si="44"/>
        <v>512910</v>
      </c>
      <c r="S22" s="59">
        <f t="shared" si="44"/>
        <v>512910</v>
      </c>
      <c r="T22" s="59">
        <f t="shared" si="44"/>
        <v>512910</v>
      </c>
      <c r="U22" s="59">
        <f t="shared" si="44"/>
        <v>512910</v>
      </c>
      <c r="V22" s="59">
        <f t="shared" si="44"/>
        <v>512910</v>
      </c>
      <c r="W22" s="59">
        <f t="shared" si="44"/>
        <v>650520</v>
      </c>
      <c r="X22" s="59">
        <f t="shared" si="44"/>
        <v>650520</v>
      </c>
      <c r="Y22" s="59">
        <f t="shared" si="44"/>
        <v>650520</v>
      </c>
      <c r="Z22" s="59">
        <f t="shared" si="44"/>
        <v>650520</v>
      </c>
      <c r="AA22" s="59">
        <f t="shared" si="44"/>
        <v>650520</v>
      </c>
      <c r="AB22" s="59">
        <f t="shared" si="44"/>
        <v>650520</v>
      </c>
      <c r="AC22" s="59">
        <f>SUM(P22:AB22)</f>
        <v>11334114.0417</v>
      </c>
      <c r="AD22" s="59">
        <f t="shared" si="45"/>
        <v>756855</v>
      </c>
      <c r="AE22" s="59">
        <f t="shared" si="45"/>
        <v>756855</v>
      </c>
      <c r="AF22" s="59">
        <f t="shared" si="45"/>
        <v>756855</v>
      </c>
      <c r="AG22" s="59">
        <f t="shared" si="45"/>
        <v>756855</v>
      </c>
      <c r="AH22" s="59">
        <f t="shared" si="45"/>
        <v>756855</v>
      </c>
      <c r="AI22" s="59">
        <f t="shared" si="45"/>
        <v>756855</v>
      </c>
      <c r="AJ22" s="59">
        <f t="shared" si="45"/>
        <v>756855</v>
      </c>
      <c r="AK22" s="59">
        <f t="shared" si="45"/>
        <v>756855</v>
      </c>
      <c r="AL22" s="59">
        <f t="shared" si="45"/>
        <v>756855</v>
      </c>
      <c r="AM22" s="59">
        <f t="shared" si="45"/>
        <v>756855</v>
      </c>
      <c r="AN22" s="59">
        <f t="shared" si="45"/>
        <v>756855</v>
      </c>
      <c r="AO22" s="59">
        <f t="shared" si="45"/>
        <v>756855</v>
      </c>
      <c r="AP22" s="59">
        <f>SUM(AC22:AO22)</f>
        <v>20416374.041699998</v>
      </c>
      <c r="AQ22" s="239">
        <f t="shared" si="46"/>
        <v>777705</v>
      </c>
      <c r="AR22" s="59">
        <f t="shared" si="46"/>
        <v>777705</v>
      </c>
      <c r="AS22" s="59">
        <f t="shared" si="46"/>
        <v>777705</v>
      </c>
      <c r="AT22" s="59">
        <f t="shared" si="46"/>
        <v>777705</v>
      </c>
      <c r="AU22" s="59">
        <f t="shared" si="46"/>
        <v>777705</v>
      </c>
      <c r="AV22" s="59">
        <f t="shared" si="46"/>
        <v>777705</v>
      </c>
      <c r="AW22" s="59">
        <f t="shared" si="46"/>
        <v>777705</v>
      </c>
      <c r="AX22" s="59">
        <f t="shared" si="46"/>
        <v>777705</v>
      </c>
      <c r="AY22" s="59">
        <f t="shared" si="46"/>
        <v>777705</v>
      </c>
      <c r="AZ22" s="59">
        <f t="shared" si="46"/>
        <v>777705</v>
      </c>
      <c r="BA22" s="59">
        <f t="shared" si="46"/>
        <v>777705</v>
      </c>
      <c r="BB22" s="59">
        <f t="shared" si="46"/>
        <v>777705</v>
      </c>
      <c r="BC22" s="59">
        <f>SUM(AP22:BB22)</f>
        <v>29748834.041699998</v>
      </c>
      <c r="BD22" s="239">
        <f t="shared" si="47"/>
        <v>798555</v>
      </c>
      <c r="BE22" s="59">
        <f t="shared" si="47"/>
        <v>798555</v>
      </c>
      <c r="BF22" s="59">
        <f t="shared" si="47"/>
        <v>798555</v>
      </c>
      <c r="BG22" s="59">
        <f t="shared" si="47"/>
        <v>798555</v>
      </c>
      <c r="BH22" s="59">
        <f t="shared" si="47"/>
        <v>798555</v>
      </c>
      <c r="BI22" s="59">
        <f t="shared" si="47"/>
        <v>798555</v>
      </c>
      <c r="BJ22" s="59">
        <f t="shared" si="47"/>
        <v>798555</v>
      </c>
      <c r="BK22" s="59">
        <f t="shared" si="47"/>
        <v>798555</v>
      </c>
      <c r="BL22" s="59">
        <f t="shared" si="47"/>
        <v>798555</v>
      </c>
      <c r="BM22" s="59">
        <f t="shared" si="47"/>
        <v>798555</v>
      </c>
      <c r="BN22" s="59">
        <f t="shared" si="47"/>
        <v>798555</v>
      </c>
      <c r="BO22" s="59">
        <f t="shared" si="47"/>
        <v>798555</v>
      </c>
      <c r="BP22" s="90">
        <f>SUM(BC22:BO22)</f>
        <v>39331494.041699998</v>
      </c>
    </row>
    <row r="23" spans="1:68" x14ac:dyDescent="0.25">
      <c r="A23" s="376"/>
      <c r="B23" s="84" t="s">
        <v>74</v>
      </c>
      <c r="C23" s="62">
        <v>0.01</v>
      </c>
      <c r="D23" s="59">
        <f t="shared" si="43"/>
        <v>73334</v>
      </c>
      <c r="E23" s="59">
        <f t="shared" si="43"/>
        <v>73334</v>
      </c>
      <c r="F23" s="59">
        <f t="shared" si="43"/>
        <v>73334</v>
      </c>
      <c r="G23" s="59">
        <f t="shared" si="43"/>
        <v>73334</v>
      </c>
      <c r="H23" s="59">
        <f t="shared" si="43"/>
        <v>73334</v>
      </c>
      <c r="I23" s="59">
        <f t="shared" si="43"/>
        <v>73334</v>
      </c>
      <c r="J23" s="59">
        <f t="shared" si="43"/>
        <v>100668</v>
      </c>
      <c r="K23" s="59">
        <f t="shared" si="43"/>
        <v>100668</v>
      </c>
      <c r="L23" s="59">
        <f t="shared" si="43"/>
        <v>100668</v>
      </c>
      <c r="M23" s="59">
        <f t="shared" si="43"/>
        <v>100668</v>
      </c>
      <c r="N23" s="59">
        <f t="shared" si="43"/>
        <v>100668</v>
      </c>
      <c r="O23" s="59">
        <f t="shared" si="43"/>
        <v>100668</v>
      </c>
      <c r="P23" s="59">
        <f>SUM(C23:O23)</f>
        <v>1044012.01</v>
      </c>
      <c r="Q23" s="59">
        <f t="shared" si="44"/>
        <v>123000</v>
      </c>
      <c r="R23" s="59">
        <f t="shared" si="44"/>
        <v>123000</v>
      </c>
      <c r="S23" s="59">
        <f t="shared" si="44"/>
        <v>123000</v>
      </c>
      <c r="T23" s="59">
        <f t="shared" si="44"/>
        <v>123000</v>
      </c>
      <c r="U23" s="59">
        <f t="shared" si="44"/>
        <v>123000</v>
      </c>
      <c r="V23" s="59">
        <f t="shared" si="44"/>
        <v>123000</v>
      </c>
      <c r="W23" s="59">
        <f t="shared" si="44"/>
        <v>156000</v>
      </c>
      <c r="X23" s="59">
        <f t="shared" si="44"/>
        <v>156000</v>
      </c>
      <c r="Y23" s="59">
        <f t="shared" si="44"/>
        <v>156000</v>
      </c>
      <c r="Z23" s="59">
        <f t="shared" si="44"/>
        <v>156000</v>
      </c>
      <c r="AA23" s="59">
        <f t="shared" si="44"/>
        <v>156000</v>
      </c>
      <c r="AB23" s="59">
        <f t="shared" si="44"/>
        <v>156000</v>
      </c>
      <c r="AC23" s="59">
        <f>SUM(P23:AB23)</f>
        <v>2718012.01</v>
      </c>
      <c r="AD23" s="59">
        <f t="shared" si="45"/>
        <v>181500</v>
      </c>
      <c r="AE23" s="59">
        <f t="shared" si="45"/>
        <v>181500</v>
      </c>
      <c r="AF23" s="59">
        <f t="shared" si="45"/>
        <v>181500</v>
      </c>
      <c r="AG23" s="59">
        <f t="shared" si="45"/>
        <v>181500</v>
      </c>
      <c r="AH23" s="59">
        <f t="shared" si="45"/>
        <v>181500</v>
      </c>
      <c r="AI23" s="59">
        <f t="shared" si="45"/>
        <v>181500</v>
      </c>
      <c r="AJ23" s="59">
        <f t="shared" si="45"/>
        <v>181500</v>
      </c>
      <c r="AK23" s="59">
        <f t="shared" si="45"/>
        <v>181500</v>
      </c>
      <c r="AL23" s="59">
        <f t="shared" si="45"/>
        <v>181500</v>
      </c>
      <c r="AM23" s="59">
        <f t="shared" si="45"/>
        <v>181500</v>
      </c>
      <c r="AN23" s="59">
        <f t="shared" si="45"/>
        <v>181500</v>
      </c>
      <c r="AO23" s="59">
        <f t="shared" si="45"/>
        <v>181500</v>
      </c>
      <c r="AP23" s="59">
        <f>SUM(AC23:AO23)</f>
        <v>4896012.01</v>
      </c>
      <c r="AQ23" s="239">
        <f t="shared" si="46"/>
        <v>186500</v>
      </c>
      <c r="AR23" s="59">
        <f t="shared" si="46"/>
        <v>186500</v>
      </c>
      <c r="AS23" s="59">
        <f t="shared" si="46"/>
        <v>186500</v>
      </c>
      <c r="AT23" s="59">
        <f t="shared" si="46"/>
        <v>186500</v>
      </c>
      <c r="AU23" s="59">
        <f t="shared" si="46"/>
        <v>186500</v>
      </c>
      <c r="AV23" s="59">
        <f t="shared" si="46"/>
        <v>186500</v>
      </c>
      <c r="AW23" s="59">
        <f t="shared" si="46"/>
        <v>186500</v>
      </c>
      <c r="AX23" s="59">
        <f t="shared" si="46"/>
        <v>186500</v>
      </c>
      <c r="AY23" s="59">
        <f t="shared" si="46"/>
        <v>186500</v>
      </c>
      <c r="AZ23" s="59">
        <f t="shared" si="46"/>
        <v>186500</v>
      </c>
      <c r="BA23" s="59">
        <f t="shared" si="46"/>
        <v>186500</v>
      </c>
      <c r="BB23" s="59">
        <f t="shared" si="46"/>
        <v>186500</v>
      </c>
      <c r="BC23" s="59">
        <f>SUM(AP23:BB23)</f>
        <v>7134012.0099999998</v>
      </c>
      <c r="BD23" s="239">
        <f t="shared" si="47"/>
        <v>191500</v>
      </c>
      <c r="BE23" s="59">
        <f t="shared" si="47"/>
        <v>191500</v>
      </c>
      <c r="BF23" s="59">
        <f t="shared" si="47"/>
        <v>191500</v>
      </c>
      <c r="BG23" s="59">
        <f t="shared" si="47"/>
        <v>191500</v>
      </c>
      <c r="BH23" s="59">
        <f t="shared" si="47"/>
        <v>191500</v>
      </c>
      <c r="BI23" s="59">
        <f t="shared" si="47"/>
        <v>191500</v>
      </c>
      <c r="BJ23" s="59">
        <f t="shared" si="47"/>
        <v>191500</v>
      </c>
      <c r="BK23" s="59">
        <f t="shared" si="47"/>
        <v>191500</v>
      </c>
      <c r="BL23" s="59">
        <f t="shared" si="47"/>
        <v>191500</v>
      </c>
      <c r="BM23" s="59">
        <f t="shared" si="47"/>
        <v>191500</v>
      </c>
      <c r="BN23" s="59">
        <f t="shared" si="47"/>
        <v>191500</v>
      </c>
      <c r="BO23" s="59">
        <f t="shared" si="47"/>
        <v>191500</v>
      </c>
      <c r="BP23" s="90">
        <f>SUM(BC23:BO23)</f>
        <v>9432012.0099999998</v>
      </c>
    </row>
    <row r="24" spans="1:68" ht="15.75" thickBot="1" x14ac:dyDescent="0.3">
      <c r="A24" s="377"/>
      <c r="B24" s="130" t="s">
        <v>201</v>
      </c>
      <c r="C24" s="131">
        <v>0</v>
      </c>
      <c r="D24" s="132">
        <f>SUM(D20:D23)</f>
        <v>1600881</v>
      </c>
      <c r="E24" s="132">
        <f t="shared" ref="E24:Q24" si="48">SUM(E20:E23)</f>
        <v>1600881</v>
      </c>
      <c r="F24" s="132">
        <f t="shared" si="48"/>
        <v>1600881</v>
      </c>
      <c r="G24" s="132">
        <f t="shared" si="48"/>
        <v>1600881</v>
      </c>
      <c r="H24" s="132">
        <f t="shared" si="48"/>
        <v>1600881</v>
      </c>
      <c r="I24" s="132">
        <f t="shared" si="48"/>
        <v>1600881</v>
      </c>
      <c r="J24" s="132">
        <f t="shared" si="48"/>
        <v>2197582</v>
      </c>
      <c r="K24" s="132">
        <f t="shared" si="48"/>
        <v>2197582</v>
      </c>
      <c r="L24" s="132">
        <f t="shared" si="48"/>
        <v>2197582</v>
      </c>
      <c r="M24" s="132">
        <f t="shared" si="48"/>
        <v>2197582</v>
      </c>
      <c r="N24" s="132">
        <f t="shared" si="48"/>
        <v>2197582</v>
      </c>
      <c r="O24" s="132">
        <f t="shared" si="48"/>
        <v>2197582</v>
      </c>
      <c r="P24" s="132">
        <f>SUM(D24:O24)</f>
        <v>22790778</v>
      </c>
      <c r="Q24" s="132">
        <f t="shared" si="48"/>
        <v>2685090</v>
      </c>
      <c r="R24" s="132">
        <f t="shared" ref="R24:AB24" si="49">SUM(R20:R23)</f>
        <v>2685090</v>
      </c>
      <c r="S24" s="132">
        <f t="shared" si="49"/>
        <v>2685090</v>
      </c>
      <c r="T24" s="132">
        <f t="shared" si="49"/>
        <v>2685090</v>
      </c>
      <c r="U24" s="132">
        <f t="shared" si="49"/>
        <v>2685090</v>
      </c>
      <c r="V24" s="132">
        <f t="shared" si="49"/>
        <v>2685090</v>
      </c>
      <c r="W24" s="132">
        <f t="shared" si="49"/>
        <v>3405480</v>
      </c>
      <c r="X24" s="132">
        <f t="shared" si="49"/>
        <v>3405480</v>
      </c>
      <c r="Y24" s="132">
        <f t="shared" si="49"/>
        <v>3405480</v>
      </c>
      <c r="Z24" s="132">
        <f t="shared" si="49"/>
        <v>3405480</v>
      </c>
      <c r="AA24" s="132">
        <f t="shared" si="49"/>
        <v>3405480</v>
      </c>
      <c r="AB24" s="132">
        <f t="shared" si="49"/>
        <v>3405480</v>
      </c>
      <c r="AC24" s="133">
        <f>SUM(Q24:AB24)</f>
        <v>36543420</v>
      </c>
      <c r="AD24" s="132">
        <f t="shared" ref="AD24:AO24" si="50">SUM(AD20:AD23)</f>
        <v>3962145</v>
      </c>
      <c r="AE24" s="132">
        <f t="shared" si="50"/>
        <v>3962145</v>
      </c>
      <c r="AF24" s="132">
        <f t="shared" si="50"/>
        <v>3962145</v>
      </c>
      <c r="AG24" s="132">
        <f t="shared" si="50"/>
        <v>3962145</v>
      </c>
      <c r="AH24" s="132">
        <f t="shared" si="50"/>
        <v>3962145</v>
      </c>
      <c r="AI24" s="132">
        <f t="shared" si="50"/>
        <v>3962145</v>
      </c>
      <c r="AJ24" s="132">
        <f t="shared" si="50"/>
        <v>3962145</v>
      </c>
      <c r="AK24" s="132">
        <f t="shared" si="50"/>
        <v>3962145</v>
      </c>
      <c r="AL24" s="132">
        <f t="shared" si="50"/>
        <v>3962145</v>
      </c>
      <c r="AM24" s="132">
        <f t="shared" si="50"/>
        <v>3962145</v>
      </c>
      <c r="AN24" s="132">
        <f t="shared" si="50"/>
        <v>3962145</v>
      </c>
      <c r="AO24" s="132">
        <f t="shared" si="50"/>
        <v>3962145</v>
      </c>
      <c r="AP24" s="133">
        <f>SUM(AD24:AO24)</f>
        <v>47545740</v>
      </c>
      <c r="AQ24" s="237">
        <f t="shared" ref="AQ24:BB24" si="51">SUM(AQ20:AQ23)</f>
        <v>4071295</v>
      </c>
      <c r="AR24" s="132">
        <f t="shared" si="51"/>
        <v>4071295</v>
      </c>
      <c r="AS24" s="132">
        <f t="shared" si="51"/>
        <v>4071295</v>
      </c>
      <c r="AT24" s="132">
        <f t="shared" si="51"/>
        <v>4071295</v>
      </c>
      <c r="AU24" s="132">
        <f t="shared" si="51"/>
        <v>4071295</v>
      </c>
      <c r="AV24" s="132">
        <f t="shared" si="51"/>
        <v>4071295</v>
      </c>
      <c r="AW24" s="132">
        <f t="shared" si="51"/>
        <v>4071295</v>
      </c>
      <c r="AX24" s="132">
        <f t="shared" si="51"/>
        <v>4071295</v>
      </c>
      <c r="AY24" s="132">
        <f t="shared" si="51"/>
        <v>4071295</v>
      </c>
      <c r="AZ24" s="132">
        <f t="shared" si="51"/>
        <v>4071295</v>
      </c>
      <c r="BA24" s="132">
        <f t="shared" si="51"/>
        <v>4071295</v>
      </c>
      <c r="BB24" s="132">
        <f t="shared" si="51"/>
        <v>4071295</v>
      </c>
      <c r="BC24" s="133">
        <f>SUM(AQ24:BB24)</f>
        <v>48855540</v>
      </c>
      <c r="BD24" s="237">
        <f t="shared" ref="BD24:BO24" si="52">SUM(BD20:BD23)</f>
        <v>4180445</v>
      </c>
      <c r="BE24" s="132">
        <f t="shared" si="52"/>
        <v>4180445</v>
      </c>
      <c r="BF24" s="132">
        <f t="shared" si="52"/>
        <v>4180445</v>
      </c>
      <c r="BG24" s="132">
        <f t="shared" si="52"/>
        <v>4180445</v>
      </c>
      <c r="BH24" s="132">
        <f t="shared" si="52"/>
        <v>4180445</v>
      </c>
      <c r="BI24" s="132">
        <f t="shared" si="52"/>
        <v>4180445</v>
      </c>
      <c r="BJ24" s="132">
        <f t="shared" si="52"/>
        <v>4180445</v>
      </c>
      <c r="BK24" s="132">
        <f t="shared" si="52"/>
        <v>4180445</v>
      </c>
      <c r="BL24" s="132">
        <f t="shared" si="52"/>
        <v>4180445</v>
      </c>
      <c r="BM24" s="132">
        <f t="shared" si="52"/>
        <v>4180445</v>
      </c>
      <c r="BN24" s="132">
        <f t="shared" si="52"/>
        <v>4180445</v>
      </c>
      <c r="BO24" s="132">
        <f t="shared" si="52"/>
        <v>4180445</v>
      </c>
      <c r="BP24" s="134">
        <f>SUM(BD24:BO24)</f>
        <v>50165340</v>
      </c>
    </row>
    <row r="25" spans="1:68" ht="15" customHeight="1" x14ac:dyDescent="0.25">
      <c r="A25" s="373" t="s">
        <v>241</v>
      </c>
      <c r="B25" s="140" t="s">
        <v>239</v>
      </c>
      <c r="C25" s="141">
        <v>0</v>
      </c>
      <c r="D25" s="124">
        <v>67800</v>
      </c>
      <c r="E25" s="124">
        <f t="shared" ref="E25:O25" si="53">+D25</f>
        <v>67800</v>
      </c>
      <c r="F25" s="124">
        <f t="shared" si="53"/>
        <v>67800</v>
      </c>
      <c r="G25" s="124">
        <f t="shared" si="53"/>
        <v>67800</v>
      </c>
      <c r="H25" s="124">
        <f t="shared" si="53"/>
        <v>67800</v>
      </c>
      <c r="I25" s="124">
        <f t="shared" si="53"/>
        <v>67800</v>
      </c>
      <c r="J25" s="124">
        <f t="shared" si="53"/>
        <v>67800</v>
      </c>
      <c r="K25" s="124">
        <f t="shared" si="53"/>
        <v>67800</v>
      </c>
      <c r="L25" s="124">
        <f t="shared" si="53"/>
        <v>67800</v>
      </c>
      <c r="M25" s="124">
        <f t="shared" si="53"/>
        <v>67800</v>
      </c>
      <c r="N25" s="124">
        <f t="shared" si="53"/>
        <v>67800</v>
      </c>
      <c r="O25" s="124">
        <f t="shared" si="53"/>
        <v>67800</v>
      </c>
      <c r="P25" s="124">
        <f>SUM(C25:O25)</f>
        <v>813600</v>
      </c>
      <c r="Q25" s="142">
        <f>ROUND(O25*(1+O$10),0)</f>
        <v>70512</v>
      </c>
      <c r="R25" s="142">
        <f t="shared" ref="R25:AB25" si="54">+Q25</f>
        <v>70512</v>
      </c>
      <c r="S25" s="142">
        <f t="shared" si="54"/>
        <v>70512</v>
      </c>
      <c r="T25" s="142">
        <f t="shared" si="54"/>
        <v>70512</v>
      </c>
      <c r="U25" s="142">
        <f t="shared" si="54"/>
        <v>70512</v>
      </c>
      <c r="V25" s="142">
        <f t="shared" si="54"/>
        <v>70512</v>
      </c>
      <c r="W25" s="142">
        <f t="shared" si="54"/>
        <v>70512</v>
      </c>
      <c r="X25" s="142">
        <f t="shared" si="54"/>
        <v>70512</v>
      </c>
      <c r="Y25" s="142">
        <f t="shared" si="54"/>
        <v>70512</v>
      </c>
      <c r="Z25" s="142">
        <f t="shared" si="54"/>
        <v>70512</v>
      </c>
      <c r="AA25" s="142">
        <f t="shared" si="54"/>
        <v>70512</v>
      </c>
      <c r="AB25" s="142">
        <f t="shared" si="54"/>
        <v>70512</v>
      </c>
      <c r="AC25" s="124">
        <f>SUM(P25:AB25)</f>
        <v>1659744</v>
      </c>
      <c r="AD25" s="142">
        <f>ROUND(AB25*(1+AB$10),0)</f>
        <v>73332</v>
      </c>
      <c r="AE25" s="142">
        <f t="shared" ref="AE25:AO25" si="55">+AD25</f>
        <v>73332</v>
      </c>
      <c r="AF25" s="142">
        <f t="shared" si="55"/>
        <v>73332</v>
      </c>
      <c r="AG25" s="142">
        <f t="shared" si="55"/>
        <v>73332</v>
      </c>
      <c r="AH25" s="142">
        <f t="shared" si="55"/>
        <v>73332</v>
      </c>
      <c r="AI25" s="142">
        <f t="shared" si="55"/>
        <v>73332</v>
      </c>
      <c r="AJ25" s="142">
        <f t="shared" si="55"/>
        <v>73332</v>
      </c>
      <c r="AK25" s="142">
        <f t="shared" si="55"/>
        <v>73332</v>
      </c>
      <c r="AL25" s="142">
        <f t="shared" si="55"/>
        <v>73332</v>
      </c>
      <c r="AM25" s="142">
        <f t="shared" si="55"/>
        <v>73332</v>
      </c>
      <c r="AN25" s="142">
        <f t="shared" si="55"/>
        <v>73332</v>
      </c>
      <c r="AO25" s="142">
        <f t="shared" si="55"/>
        <v>73332</v>
      </c>
      <c r="AP25" s="124">
        <f>SUM(AC25:AO25)</f>
        <v>2539728</v>
      </c>
      <c r="AQ25" s="242">
        <f>ROUND(AO25*(1+AO$10),0)</f>
        <v>76265</v>
      </c>
      <c r="AR25" s="142">
        <f t="shared" ref="AR25:BB25" si="56">+AQ25</f>
        <v>76265</v>
      </c>
      <c r="AS25" s="142">
        <f t="shared" si="56"/>
        <v>76265</v>
      </c>
      <c r="AT25" s="142">
        <f t="shared" si="56"/>
        <v>76265</v>
      </c>
      <c r="AU25" s="142">
        <f t="shared" si="56"/>
        <v>76265</v>
      </c>
      <c r="AV25" s="142">
        <f t="shared" si="56"/>
        <v>76265</v>
      </c>
      <c r="AW25" s="142">
        <f t="shared" si="56"/>
        <v>76265</v>
      </c>
      <c r="AX25" s="142">
        <f t="shared" si="56"/>
        <v>76265</v>
      </c>
      <c r="AY25" s="142">
        <f t="shared" si="56"/>
        <v>76265</v>
      </c>
      <c r="AZ25" s="142">
        <f t="shared" si="56"/>
        <v>76265</v>
      </c>
      <c r="BA25" s="142">
        <f t="shared" si="56"/>
        <v>76265</v>
      </c>
      <c r="BB25" s="142">
        <f t="shared" si="56"/>
        <v>76265</v>
      </c>
      <c r="BC25" s="124">
        <f>SUM(AP25:BB25)</f>
        <v>3454908</v>
      </c>
      <c r="BD25" s="242">
        <f>ROUND(BB25*(1+BB$10),0)</f>
        <v>79316</v>
      </c>
      <c r="BE25" s="142">
        <f t="shared" ref="BE25:BO25" si="57">+BD25</f>
        <v>79316</v>
      </c>
      <c r="BF25" s="142">
        <f t="shared" si="57"/>
        <v>79316</v>
      </c>
      <c r="BG25" s="142">
        <f t="shared" si="57"/>
        <v>79316</v>
      </c>
      <c r="BH25" s="142">
        <f t="shared" si="57"/>
        <v>79316</v>
      </c>
      <c r="BI25" s="142">
        <f t="shared" si="57"/>
        <v>79316</v>
      </c>
      <c r="BJ25" s="142">
        <f t="shared" si="57"/>
        <v>79316</v>
      </c>
      <c r="BK25" s="142">
        <f t="shared" si="57"/>
        <v>79316</v>
      </c>
      <c r="BL25" s="142">
        <f t="shared" si="57"/>
        <v>79316</v>
      </c>
      <c r="BM25" s="142">
        <f t="shared" si="57"/>
        <v>79316</v>
      </c>
      <c r="BN25" s="142">
        <f t="shared" si="57"/>
        <v>79316</v>
      </c>
      <c r="BO25" s="142">
        <f t="shared" si="57"/>
        <v>79316</v>
      </c>
      <c r="BP25" s="125">
        <f>SUM(BC25:BO25)</f>
        <v>4406700</v>
      </c>
    </row>
    <row r="26" spans="1:68" ht="15.75" thickBot="1" x14ac:dyDescent="0.3">
      <c r="A26" s="374"/>
      <c r="B26" s="118" t="s">
        <v>240</v>
      </c>
      <c r="C26" s="139">
        <v>0</v>
      </c>
      <c r="D26" s="119">
        <f t="shared" ref="D26:O26" si="58">D25*(D9*2+1)</f>
        <v>339000</v>
      </c>
      <c r="E26" s="119">
        <f t="shared" si="58"/>
        <v>339000</v>
      </c>
      <c r="F26" s="119">
        <f t="shared" si="58"/>
        <v>339000</v>
      </c>
      <c r="G26" s="119">
        <f t="shared" si="58"/>
        <v>339000</v>
      </c>
      <c r="H26" s="119">
        <f t="shared" si="58"/>
        <v>339000</v>
      </c>
      <c r="I26" s="119">
        <f t="shared" si="58"/>
        <v>339000</v>
      </c>
      <c r="J26" s="119">
        <f t="shared" si="58"/>
        <v>610200</v>
      </c>
      <c r="K26" s="119">
        <f t="shared" si="58"/>
        <v>610200</v>
      </c>
      <c r="L26" s="119">
        <f t="shared" si="58"/>
        <v>610200</v>
      </c>
      <c r="M26" s="119">
        <f t="shared" si="58"/>
        <v>610200</v>
      </c>
      <c r="N26" s="119">
        <f t="shared" si="58"/>
        <v>610200</v>
      </c>
      <c r="O26" s="119">
        <f t="shared" si="58"/>
        <v>610200</v>
      </c>
      <c r="P26" s="119">
        <f>SUM(D26:O26)</f>
        <v>5695200</v>
      </c>
      <c r="Q26" s="119">
        <f t="shared" ref="Q26:AB26" si="59">Q25*(Q9*2+1)</f>
        <v>634608</v>
      </c>
      <c r="R26" s="119">
        <f t="shared" si="59"/>
        <v>634608</v>
      </c>
      <c r="S26" s="119">
        <f t="shared" si="59"/>
        <v>634608</v>
      </c>
      <c r="T26" s="119">
        <f t="shared" si="59"/>
        <v>634608</v>
      </c>
      <c r="U26" s="119">
        <f t="shared" si="59"/>
        <v>634608</v>
      </c>
      <c r="V26" s="119">
        <f t="shared" si="59"/>
        <v>634608</v>
      </c>
      <c r="W26" s="119">
        <f t="shared" si="59"/>
        <v>916656</v>
      </c>
      <c r="X26" s="119">
        <f t="shared" si="59"/>
        <v>916656</v>
      </c>
      <c r="Y26" s="119">
        <f t="shared" si="59"/>
        <v>916656</v>
      </c>
      <c r="Z26" s="119">
        <f t="shared" si="59"/>
        <v>916656</v>
      </c>
      <c r="AA26" s="119">
        <f t="shared" si="59"/>
        <v>916656</v>
      </c>
      <c r="AB26" s="119">
        <f t="shared" si="59"/>
        <v>916656</v>
      </c>
      <c r="AC26" s="120">
        <f>SUM(Q26:AB26)</f>
        <v>9307584</v>
      </c>
      <c r="AD26" s="119">
        <f t="shared" ref="AD26:AO26" si="60">AD25*(AD9*2+1)</f>
        <v>953316</v>
      </c>
      <c r="AE26" s="119">
        <f t="shared" si="60"/>
        <v>953316</v>
      </c>
      <c r="AF26" s="119">
        <f t="shared" si="60"/>
        <v>953316</v>
      </c>
      <c r="AG26" s="119">
        <f t="shared" si="60"/>
        <v>953316</v>
      </c>
      <c r="AH26" s="119">
        <f t="shared" si="60"/>
        <v>953316</v>
      </c>
      <c r="AI26" s="119">
        <f t="shared" si="60"/>
        <v>953316</v>
      </c>
      <c r="AJ26" s="119">
        <f t="shared" si="60"/>
        <v>953316</v>
      </c>
      <c r="AK26" s="119">
        <f t="shared" si="60"/>
        <v>953316</v>
      </c>
      <c r="AL26" s="119">
        <f t="shared" si="60"/>
        <v>953316</v>
      </c>
      <c r="AM26" s="119">
        <f t="shared" si="60"/>
        <v>953316</v>
      </c>
      <c r="AN26" s="119">
        <f t="shared" si="60"/>
        <v>953316</v>
      </c>
      <c r="AO26" s="119">
        <f t="shared" si="60"/>
        <v>953316</v>
      </c>
      <c r="AP26" s="120">
        <f>SUM(AD26:AO26)</f>
        <v>11439792</v>
      </c>
      <c r="AQ26" s="241">
        <f t="shared" ref="AQ26:BB26" si="61">AQ25*(AQ9*2+1)</f>
        <v>991445</v>
      </c>
      <c r="AR26" s="119">
        <f t="shared" si="61"/>
        <v>991445</v>
      </c>
      <c r="AS26" s="119">
        <f t="shared" si="61"/>
        <v>991445</v>
      </c>
      <c r="AT26" s="119">
        <f t="shared" si="61"/>
        <v>991445</v>
      </c>
      <c r="AU26" s="119">
        <f t="shared" si="61"/>
        <v>991445</v>
      </c>
      <c r="AV26" s="119">
        <f t="shared" si="61"/>
        <v>991445</v>
      </c>
      <c r="AW26" s="119">
        <f t="shared" si="61"/>
        <v>991445</v>
      </c>
      <c r="AX26" s="119">
        <f t="shared" si="61"/>
        <v>991445</v>
      </c>
      <c r="AY26" s="119">
        <f t="shared" si="61"/>
        <v>991445</v>
      </c>
      <c r="AZ26" s="119">
        <f t="shared" si="61"/>
        <v>991445</v>
      </c>
      <c r="BA26" s="119">
        <f t="shared" si="61"/>
        <v>991445</v>
      </c>
      <c r="BB26" s="119">
        <f t="shared" si="61"/>
        <v>991445</v>
      </c>
      <c r="BC26" s="120">
        <f>SUM(AQ26:BB26)</f>
        <v>11897340</v>
      </c>
      <c r="BD26" s="241">
        <f t="shared" ref="BD26:BO26" si="62">BD25*(BD9*2+1)</f>
        <v>1031108</v>
      </c>
      <c r="BE26" s="119">
        <f t="shared" si="62"/>
        <v>1031108</v>
      </c>
      <c r="BF26" s="119">
        <f t="shared" si="62"/>
        <v>1031108</v>
      </c>
      <c r="BG26" s="119">
        <f t="shared" si="62"/>
        <v>1031108</v>
      </c>
      <c r="BH26" s="119">
        <f t="shared" si="62"/>
        <v>1031108</v>
      </c>
      <c r="BI26" s="119">
        <f t="shared" si="62"/>
        <v>1031108</v>
      </c>
      <c r="BJ26" s="119">
        <f t="shared" si="62"/>
        <v>1031108</v>
      </c>
      <c r="BK26" s="119">
        <f t="shared" si="62"/>
        <v>1031108</v>
      </c>
      <c r="BL26" s="119">
        <f t="shared" si="62"/>
        <v>1031108</v>
      </c>
      <c r="BM26" s="119">
        <f t="shared" si="62"/>
        <v>1031108</v>
      </c>
      <c r="BN26" s="119">
        <f t="shared" si="62"/>
        <v>1031108</v>
      </c>
      <c r="BO26" s="119">
        <f t="shared" si="62"/>
        <v>1031108</v>
      </c>
      <c r="BP26" s="121">
        <f>SUM(BD26:BO26)</f>
        <v>12373296</v>
      </c>
    </row>
    <row r="27" spans="1:68" x14ac:dyDescent="0.25">
      <c r="A27" s="370" t="s">
        <v>198</v>
      </c>
      <c r="B27" s="145" t="s">
        <v>198</v>
      </c>
      <c r="C27" s="146">
        <v>0</v>
      </c>
      <c r="D27" s="128">
        <v>100000</v>
      </c>
      <c r="E27" s="128">
        <f t="shared" ref="E27:O27" si="63">+D27</f>
        <v>100000</v>
      </c>
      <c r="F27" s="128">
        <f t="shared" si="63"/>
        <v>100000</v>
      </c>
      <c r="G27" s="128">
        <f t="shared" si="63"/>
        <v>100000</v>
      </c>
      <c r="H27" s="128">
        <f t="shared" si="63"/>
        <v>100000</v>
      </c>
      <c r="I27" s="128">
        <f t="shared" si="63"/>
        <v>100000</v>
      </c>
      <c r="J27" s="128">
        <f t="shared" si="63"/>
        <v>100000</v>
      </c>
      <c r="K27" s="128">
        <f t="shared" si="63"/>
        <v>100000</v>
      </c>
      <c r="L27" s="128">
        <f t="shared" si="63"/>
        <v>100000</v>
      </c>
      <c r="M27" s="128">
        <f t="shared" si="63"/>
        <v>100000</v>
      </c>
      <c r="N27" s="128">
        <f t="shared" si="63"/>
        <v>100000</v>
      </c>
      <c r="O27" s="128">
        <f t="shared" si="63"/>
        <v>100000</v>
      </c>
      <c r="P27" s="128">
        <f>SUM(C27:O27)</f>
        <v>1200000</v>
      </c>
      <c r="Q27" s="137">
        <f>ROUND(O27*(1+O$10),0)</f>
        <v>104000</v>
      </c>
      <c r="R27" s="137">
        <f t="shared" ref="R27:AB27" si="64">+Q27</f>
        <v>104000</v>
      </c>
      <c r="S27" s="137">
        <f t="shared" si="64"/>
        <v>104000</v>
      </c>
      <c r="T27" s="137">
        <f t="shared" si="64"/>
        <v>104000</v>
      </c>
      <c r="U27" s="137">
        <f t="shared" si="64"/>
        <v>104000</v>
      </c>
      <c r="V27" s="137">
        <f t="shared" si="64"/>
        <v>104000</v>
      </c>
      <c r="W27" s="137">
        <f t="shared" si="64"/>
        <v>104000</v>
      </c>
      <c r="X27" s="137">
        <f t="shared" si="64"/>
        <v>104000</v>
      </c>
      <c r="Y27" s="137">
        <f t="shared" si="64"/>
        <v>104000</v>
      </c>
      <c r="Z27" s="137">
        <f t="shared" si="64"/>
        <v>104000</v>
      </c>
      <c r="AA27" s="137">
        <f t="shared" si="64"/>
        <v>104000</v>
      </c>
      <c r="AB27" s="137">
        <f t="shared" si="64"/>
        <v>104000</v>
      </c>
      <c r="AC27" s="128">
        <f>SUM(P27:AB27)</f>
        <v>2448000</v>
      </c>
      <c r="AD27" s="137">
        <f>ROUND(AB27*(1+AB$10),0)</f>
        <v>108160</v>
      </c>
      <c r="AE27" s="137">
        <f t="shared" ref="AE27:AO27" si="65">+AD27</f>
        <v>108160</v>
      </c>
      <c r="AF27" s="137">
        <f t="shared" si="65"/>
        <v>108160</v>
      </c>
      <c r="AG27" s="137">
        <f t="shared" si="65"/>
        <v>108160</v>
      </c>
      <c r="AH27" s="137">
        <f t="shared" si="65"/>
        <v>108160</v>
      </c>
      <c r="AI27" s="137">
        <f t="shared" si="65"/>
        <v>108160</v>
      </c>
      <c r="AJ27" s="137">
        <f t="shared" si="65"/>
        <v>108160</v>
      </c>
      <c r="AK27" s="137">
        <f t="shared" si="65"/>
        <v>108160</v>
      </c>
      <c r="AL27" s="137">
        <f t="shared" si="65"/>
        <v>108160</v>
      </c>
      <c r="AM27" s="137">
        <f t="shared" si="65"/>
        <v>108160</v>
      </c>
      <c r="AN27" s="137">
        <f t="shared" si="65"/>
        <v>108160</v>
      </c>
      <c r="AO27" s="137">
        <f t="shared" si="65"/>
        <v>108160</v>
      </c>
      <c r="AP27" s="128">
        <f>SUM(AC27:AO27)</f>
        <v>3745920</v>
      </c>
      <c r="AQ27" s="234">
        <f>ROUND(AO27*(1+AO$10),0)</f>
        <v>112486</v>
      </c>
      <c r="AR27" s="137">
        <f t="shared" ref="AR27:BB27" si="66">+AQ27</f>
        <v>112486</v>
      </c>
      <c r="AS27" s="137">
        <f t="shared" si="66"/>
        <v>112486</v>
      </c>
      <c r="AT27" s="137">
        <f t="shared" si="66"/>
        <v>112486</v>
      </c>
      <c r="AU27" s="137">
        <f t="shared" si="66"/>
        <v>112486</v>
      </c>
      <c r="AV27" s="137">
        <f t="shared" si="66"/>
        <v>112486</v>
      </c>
      <c r="AW27" s="137">
        <f t="shared" si="66"/>
        <v>112486</v>
      </c>
      <c r="AX27" s="137">
        <f t="shared" si="66"/>
        <v>112486</v>
      </c>
      <c r="AY27" s="137">
        <f t="shared" si="66"/>
        <v>112486</v>
      </c>
      <c r="AZ27" s="137">
        <f t="shared" si="66"/>
        <v>112486</v>
      </c>
      <c r="BA27" s="137">
        <f t="shared" si="66"/>
        <v>112486</v>
      </c>
      <c r="BB27" s="137">
        <f t="shared" si="66"/>
        <v>112486</v>
      </c>
      <c r="BC27" s="128">
        <f>SUM(AP27:BB27)</f>
        <v>5095752</v>
      </c>
      <c r="BD27" s="234">
        <f>ROUND(BB27*(1+BB$10),0)</f>
        <v>116985</v>
      </c>
      <c r="BE27" s="137">
        <f t="shared" ref="BE27:BO27" si="67">+BD27</f>
        <v>116985</v>
      </c>
      <c r="BF27" s="137">
        <f t="shared" si="67"/>
        <v>116985</v>
      </c>
      <c r="BG27" s="137">
        <f t="shared" si="67"/>
        <v>116985</v>
      </c>
      <c r="BH27" s="137">
        <f t="shared" si="67"/>
        <v>116985</v>
      </c>
      <c r="BI27" s="137">
        <f t="shared" si="67"/>
        <v>116985</v>
      </c>
      <c r="BJ27" s="137">
        <f t="shared" si="67"/>
        <v>116985</v>
      </c>
      <c r="BK27" s="137">
        <f t="shared" si="67"/>
        <v>116985</v>
      </c>
      <c r="BL27" s="137">
        <f t="shared" si="67"/>
        <v>116985</v>
      </c>
      <c r="BM27" s="137">
        <f t="shared" si="67"/>
        <v>116985</v>
      </c>
      <c r="BN27" s="137">
        <f t="shared" si="67"/>
        <v>116985</v>
      </c>
      <c r="BO27" s="137">
        <f t="shared" si="67"/>
        <v>116985</v>
      </c>
      <c r="BP27" s="129">
        <f>SUM(BC27:BO27)</f>
        <v>6499572</v>
      </c>
    </row>
    <row r="28" spans="1:68" ht="15" customHeight="1" thickBot="1" x14ac:dyDescent="0.3">
      <c r="A28" s="375"/>
      <c r="B28" s="147" t="s">
        <v>242</v>
      </c>
      <c r="C28" s="131">
        <v>0</v>
      </c>
      <c r="D28" s="148">
        <f>D27*D9*2+D27</f>
        <v>500000</v>
      </c>
      <c r="E28" s="148">
        <v>0</v>
      </c>
      <c r="F28" s="148">
        <v>0</v>
      </c>
      <c r="G28" s="148">
        <f>G27*G9*2+G27</f>
        <v>500000</v>
      </c>
      <c r="H28" s="148">
        <v>0</v>
      </c>
      <c r="I28" s="148">
        <v>0</v>
      </c>
      <c r="J28" s="148">
        <f>J27*J9*2+J27</f>
        <v>900000</v>
      </c>
      <c r="K28" s="148">
        <v>0</v>
      </c>
      <c r="L28" s="148">
        <v>0</v>
      </c>
      <c r="M28" s="148">
        <f>M27*M9*2+M27</f>
        <v>900000</v>
      </c>
      <c r="N28" s="148">
        <v>0</v>
      </c>
      <c r="O28" s="148">
        <v>0</v>
      </c>
      <c r="P28" s="148">
        <f>SUM(D28:O28)</f>
        <v>2800000</v>
      </c>
      <c r="Q28" s="148">
        <f>Q27*Q9*2+Q27</f>
        <v>936000</v>
      </c>
      <c r="R28" s="148">
        <v>0</v>
      </c>
      <c r="S28" s="148">
        <v>0</v>
      </c>
      <c r="T28" s="148">
        <f>T27*T9*2+T27</f>
        <v>936000</v>
      </c>
      <c r="U28" s="148">
        <v>0</v>
      </c>
      <c r="V28" s="148">
        <v>0</v>
      </c>
      <c r="W28" s="148">
        <f>W27*W9*2+W27</f>
        <v>1352000</v>
      </c>
      <c r="X28" s="148">
        <v>0</v>
      </c>
      <c r="Y28" s="148">
        <v>0</v>
      </c>
      <c r="Z28" s="148">
        <f>Z27*Z9*2+Z27</f>
        <v>1352000</v>
      </c>
      <c r="AA28" s="148">
        <v>0</v>
      </c>
      <c r="AB28" s="148">
        <v>0</v>
      </c>
      <c r="AC28" s="148">
        <f>SUM(Q28:AB28)</f>
        <v>4576000</v>
      </c>
      <c r="AD28" s="148">
        <f>AD27*AD9*2+AD27</f>
        <v>1406080</v>
      </c>
      <c r="AE28" s="148">
        <v>0</v>
      </c>
      <c r="AF28" s="148">
        <v>0</v>
      </c>
      <c r="AG28" s="148">
        <f>AG27*AG9*2+AG27</f>
        <v>1406080</v>
      </c>
      <c r="AH28" s="148">
        <v>0</v>
      </c>
      <c r="AI28" s="148">
        <v>0</v>
      </c>
      <c r="AJ28" s="148">
        <f>AJ27*AJ9*2+AJ27</f>
        <v>1406080</v>
      </c>
      <c r="AK28" s="148">
        <v>0</v>
      </c>
      <c r="AL28" s="148">
        <v>0</v>
      </c>
      <c r="AM28" s="148">
        <f>AM27*AM9*2+AM27</f>
        <v>1406080</v>
      </c>
      <c r="AN28" s="148">
        <v>0</v>
      </c>
      <c r="AO28" s="148">
        <v>0</v>
      </c>
      <c r="AP28" s="148">
        <f>SUM(AD28:AO28)</f>
        <v>5624320</v>
      </c>
      <c r="AQ28" s="243">
        <f>AQ27*AQ9*2+AQ27</f>
        <v>1462318</v>
      </c>
      <c r="AR28" s="148">
        <v>0</v>
      </c>
      <c r="AS28" s="148">
        <v>0</v>
      </c>
      <c r="AT28" s="148">
        <f>AT27*AT9*2+AT27</f>
        <v>1462318</v>
      </c>
      <c r="AU28" s="148">
        <v>0</v>
      </c>
      <c r="AV28" s="148">
        <v>0</v>
      </c>
      <c r="AW28" s="148">
        <f>AW27*AW9*2+AW27</f>
        <v>1462318</v>
      </c>
      <c r="AX28" s="148">
        <v>0</v>
      </c>
      <c r="AY28" s="148">
        <v>0</v>
      </c>
      <c r="AZ28" s="148">
        <f>AZ27*AZ9*2+AZ27</f>
        <v>1462318</v>
      </c>
      <c r="BA28" s="148">
        <v>0</v>
      </c>
      <c r="BB28" s="148">
        <v>0</v>
      </c>
      <c r="BC28" s="148">
        <f>SUM(AQ28:BB28)</f>
        <v>5849272</v>
      </c>
      <c r="BD28" s="243">
        <f>BD27*BD9*2+BD27</f>
        <v>1520805</v>
      </c>
      <c r="BE28" s="148">
        <v>0</v>
      </c>
      <c r="BF28" s="148">
        <v>0</v>
      </c>
      <c r="BG28" s="148">
        <f>BG27*BG9*2+BG27</f>
        <v>1520805</v>
      </c>
      <c r="BH28" s="148">
        <v>0</v>
      </c>
      <c r="BI28" s="148">
        <v>0</v>
      </c>
      <c r="BJ28" s="148">
        <f>BJ27*BJ9*2+BJ27</f>
        <v>1520805</v>
      </c>
      <c r="BK28" s="148">
        <v>0</v>
      </c>
      <c r="BL28" s="148">
        <v>0</v>
      </c>
      <c r="BM28" s="148">
        <f>BM27*BM9*2+BM27</f>
        <v>1520805</v>
      </c>
      <c r="BN28" s="148">
        <v>0</v>
      </c>
      <c r="BO28" s="148">
        <v>0</v>
      </c>
      <c r="BP28" s="149">
        <f>SUM(BD28:BO28)</f>
        <v>6083220</v>
      </c>
    </row>
    <row r="29" spans="1:68" ht="16.5" thickBot="1" x14ac:dyDescent="0.3">
      <c r="A29" s="368" t="s">
        <v>193</v>
      </c>
      <c r="B29" s="369"/>
      <c r="C29" s="194"/>
      <c r="D29" s="195">
        <f t="shared" ref="D29:O29" si="68">+D11+D15+D19+D24+D26+D28</f>
        <v>11974914</v>
      </c>
      <c r="E29" s="195">
        <f t="shared" si="68"/>
        <v>11474914</v>
      </c>
      <c r="F29" s="195">
        <f t="shared" si="68"/>
        <v>11474914</v>
      </c>
      <c r="G29" s="195">
        <f t="shared" si="68"/>
        <v>11974914</v>
      </c>
      <c r="H29" s="195">
        <f t="shared" si="68"/>
        <v>11474914</v>
      </c>
      <c r="I29" s="195">
        <f t="shared" si="68"/>
        <v>11474914</v>
      </c>
      <c r="J29" s="195">
        <f t="shared" si="68"/>
        <v>16796837</v>
      </c>
      <c r="K29" s="195">
        <f t="shared" si="68"/>
        <v>15896837</v>
      </c>
      <c r="L29" s="195">
        <f t="shared" si="68"/>
        <v>15896837</v>
      </c>
      <c r="M29" s="195">
        <f t="shared" si="68"/>
        <v>16796837</v>
      </c>
      <c r="N29" s="195">
        <f t="shared" si="68"/>
        <v>15896837</v>
      </c>
      <c r="O29" s="195">
        <f t="shared" si="68"/>
        <v>15896837</v>
      </c>
      <c r="P29" s="195">
        <f>SUM(D29:O29)</f>
        <v>167030506</v>
      </c>
      <c r="Q29" s="195">
        <f t="shared" ref="Q29:AB29" si="69">+Q11+Q15+Q19+Q24+Q26+Q28</f>
        <v>20248404</v>
      </c>
      <c r="R29" s="195">
        <f t="shared" si="69"/>
        <v>19312404</v>
      </c>
      <c r="S29" s="195">
        <f t="shared" si="69"/>
        <v>19312404</v>
      </c>
      <c r="T29" s="195">
        <f t="shared" si="69"/>
        <v>20248404</v>
      </c>
      <c r="U29" s="195">
        <f t="shared" si="69"/>
        <v>19312404</v>
      </c>
      <c r="V29" s="195">
        <f t="shared" si="69"/>
        <v>19312404</v>
      </c>
      <c r="W29" s="195">
        <f t="shared" si="69"/>
        <v>25957568</v>
      </c>
      <c r="X29" s="195">
        <f t="shared" si="69"/>
        <v>24605568</v>
      </c>
      <c r="Y29" s="195">
        <f t="shared" si="69"/>
        <v>24605568</v>
      </c>
      <c r="Z29" s="195">
        <f t="shared" si="69"/>
        <v>25957568</v>
      </c>
      <c r="AA29" s="195">
        <f t="shared" si="69"/>
        <v>24605568</v>
      </c>
      <c r="AB29" s="195">
        <f t="shared" si="69"/>
        <v>24605568</v>
      </c>
      <c r="AC29" s="196">
        <f>SUM(Q29:AB29)</f>
        <v>268083832</v>
      </c>
      <c r="AD29" s="195">
        <f t="shared" ref="AD29:AO29" si="70">+AD11+AD15+AD19+AD24+AD26+AD28</f>
        <v>29920534</v>
      </c>
      <c r="AE29" s="195">
        <f t="shared" si="70"/>
        <v>28514454</v>
      </c>
      <c r="AF29" s="195">
        <f t="shared" si="70"/>
        <v>28514454</v>
      </c>
      <c r="AG29" s="195">
        <f t="shared" si="70"/>
        <v>29920534</v>
      </c>
      <c r="AH29" s="195">
        <f t="shared" si="70"/>
        <v>28514454</v>
      </c>
      <c r="AI29" s="195">
        <f t="shared" si="70"/>
        <v>28514454</v>
      </c>
      <c r="AJ29" s="195">
        <f t="shared" si="70"/>
        <v>29920534</v>
      </c>
      <c r="AK29" s="195">
        <f t="shared" si="70"/>
        <v>28514454</v>
      </c>
      <c r="AL29" s="195">
        <f t="shared" si="70"/>
        <v>28514454</v>
      </c>
      <c r="AM29" s="195">
        <f t="shared" si="70"/>
        <v>29920534</v>
      </c>
      <c r="AN29" s="195">
        <f t="shared" si="70"/>
        <v>28514454</v>
      </c>
      <c r="AO29" s="195">
        <f t="shared" si="70"/>
        <v>28514454</v>
      </c>
      <c r="AP29" s="196">
        <f>SUM(AD29:AO29)</f>
        <v>347797768</v>
      </c>
      <c r="AQ29" s="244">
        <f t="shared" ref="AQ29:BB29" si="71">+AQ11+AQ15+AQ19+AQ24+AQ26+AQ28</f>
        <v>30774161</v>
      </c>
      <c r="AR29" s="195">
        <f t="shared" si="71"/>
        <v>29311843</v>
      </c>
      <c r="AS29" s="195">
        <f t="shared" si="71"/>
        <v>29311843</v>
      </c>
      <c r="AT29" s="195">
        <f t="shared" si="71"/>
        <v>30774161</v>
      </c>
      <c r="AU29" s="195">
        <f t="shared" si="71"/>
        <v>29311843</v>
      </c>
      <c r="AV29" s="195">
        <f t="shared" si="71"/>
        <v>29311843</v>
      </c>
      <c r="AW29" s="195">
        <f t="shared" si="71"/>
        <v>30774161</v>
      </c>
      <c r="AX29" s="195">
        <f t="shared" si="71"/>
        <v>29311843</v>
      </c>
      <c r="AY29" s="195">
        <f t="shared" si="71"/>
        <v>29311843</v>
      </c>
      <c r="AZ29" s="195">
        <f t="shared" si="71"/>
        <v>30774161</v>
      </c>
      <c r="BA29" s="195">
        <f t="shared" si="71"/>
        <v>29311843</v>
      </c>
      <c r="BB29" s="195">
        <f t="shared" si="71"/>
        <v>29311843</v>
      </c>
      <c r="BC29" s="196">
        <f>SUM(AQ29:BB29)</f>
        <v>357591388</v>
      </c>
      <c r="BD29" s="244">
        <f t="shared" ref="BD29:BO29" si="72">+BD11+BD15+BD19+BD24+BD26+BD28</f>
        <v>31631571</v>
      </c>
      <c r="BE29" s="195">
        <f t="shared" si="72"/>
        <v>30110766</v>
      </c>
      <c r="BF29" s="195">
        <f t="shared" si="72"/>
        <v>30110766</v>
      </c>
      <c r="BG29" s="195">
        <f t="shared" si="72"/>
        <v>31631571</v>
      </c>
      <c r="BH29" s="195">
        <f t="shared" si="72"/>
        <v>30110766</v>
      </c>
      <c r="BI29" s="195">
        <f t="shared" si="72"/>
        <v>30110766</v>
      </c>
      <c r="BJ29" s="195">
        <f t="shared" si="72"/>
        <v>31631571</v>
      </c>
      <c r="BK29" s="195">
        <f t="shared" si="72"/>
        <v>30110766</v>
      </c>
      <c r="BL29" s="195">
        <f t="shared" si="72"/>
        <v>30110766</v>
      </c>
      <c r="BM29" s="195">
        <f t="shared" si="72"/>
        <v>31631571</v>
      </c>
      <c r="BN29" s="195">
        <f t="shared" si="72"/>
        <v>30110766</v>
      </c>
      <c r="BO29" s="195">
        <f t="shared" si="72"/>
        <v>30110766</v>
      </c>
      <c r="BP29" s="197">
        <f>SUM(BD29:BO29)</f>
        <v>367412412</v>
      </c>
    </row>
    <row r="30" spans="1:68" x14ac:dyDescent="0.25">
      <c r="A30" s="4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68" x14ac:dyDescent="0.25">
      <c r="A31" s="49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36"/>
    </row>
    <row r="32" spans="1:68" x14ac:dyDescent="0.25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4:16" x14ac:dyDescent="0.25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4:16" x14ac:dyDescent="0.2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4:16" x14ac:dyDescent="0.2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4:16" x14ac:dyDescent="0.2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4:16" x14ac:dyDescent="0.2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4:16" x14ac:dyDescent="0.2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4:16" x14ac:dyDescent="0.2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4:16" x14ac:dyDescent="0.2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4:16" x14ac:dyDescent="0.2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</sheetData>
  <mergeCells count="8">
    <mergeCell ref="A2:BP2"/>
    <mergeCell ref="A29:B29"/>
    <mergeCell ref="A5:A11"/>
    <mergeCell ref="A25:A26"/>
    <mergeCell ref="A27:A28"/>
    <mergeCell ref="A12:A15"/>
    <mergeCell ref="A16:A19"/>
    <mergeCell ref="A20:A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W95"/>
  <sheetViews>
    <sheetView workbookViewId="0">
      <selection sqref="A1:G1"/>
    </sheetView>
  </sheetViews>
  <sheetFormatPr baseColWidth="10" defaultColWidth="9.140625" defaultRowHeight="15" x14ac:dyDescent="0.25"/>
  <cols>
    <col min="2" max="2" width="3.140625" customWidth="1"/>
    <col min="3" max="3" width="33" customWidth="1"/>
    <col min="4" max="6" width="14.85546875" bestFit="1" customWidth="1"/>
    <col min="7" max="7" width="14.85546875" customWidth="1"/>
    <col min="9" max="9" width="32.140625" customWidth="1"/>
    <col min="10" max="10" width="6.5703125" customWidth="1"/>
    <col min="11" max="11" width="10.5703125" bestFit="1" customWidth="1"/>
    <col min="12" max="12" width="10.5703125" customWidth="1"/>
    <col min="13" max="19" width="10.5703125" bestFit="1" customWidth="1"/>
    <col min="20" max="21" width="12.5703125" bestFit="1" customWidth="1"/>
    <col min="22" max="22" width="10.5703125" bestFit="1" customWidth="1"/>
    <col min="23" max="23" width="11.5703125" bestFit="1" customWidth="1"/>
  </cols>
  <sheetData>
    <row r="4" spans="3:49" ht="15.75" thickBot="1" x14ac:dyDescent="0.3">
      <c r="C4" s="381" t="s">
        <v>26</v>
      </c>
      <c r="D4" s="381"/>
      <c r="E4" s="381"/>
      <c r="F4" s="381"/>
      <c r="G4" s="28"/>
    </row>
    <row r="5" spans="3:49" ht="15.75" thickBot="1" x14ac:dyDescent="0.3">
      <c r="C5" s="9" t="s">
        <v>27</v>
      </c>
      <c r="D5" s="5" t="s">
        <v>1</v>
      </c>
      <c r="E5" s="5" t="s">
        <v>2</v>
      </c>
      <c r="F5" s="5" t="s">
        <v>3</v>
      </c>
      <c r="G5" s="28"/>
    </row>
    <row r="6" spans="3:49" ht="15.75" thickBot="1" x14ac:dyDescent="0.3">
      <c r="C6" s="6" t="s">
        <v>28</v>
      </c>
      <c r="D6" s="10">
        <v>1</v>
      </c>
      <c r="E6" s="10">
        <v>1</v>
      </c>
      <c r="F6" s="10">
        <v>1</v>
      </c>
      <c r="G6" s="27"/>
    </row>
    <row r="7" spans="3:49" ht="15.75" thickBot="1" x14ac:dyDescent="0.3">
      <c r="C7" s="6" t="s">
        <v>29</v>
      </c>
      <c r="D7" s="11">
        <f>+'INGRESOS '!B19</f>
        <v>800000</v>
      </c>
      <c r="E7" s="11"/>
      <c r="F7" s="11"/>
      <c r="G7" s="29"/>
    </row>
    <row r="8" spans="3:49" ht="15.75" thickBot="1" x14ac:dyDescent="0.3">
      <c r="C8" s="3" t="s">
        <v>30</v>
      </c>
      <c r="D8" s="12">
        <v>800</v>
      </c>
      <c r="E8" s="12"/>
      <c r="F8" s="12"/>
      <c r="G8" s="30"/>
      <c r="I8" s="25" t="s">
        <v>65</v>
      </c>
      <c r="K8" s="25">
        <v>1</v>
      </c>
      <c r="L8" s="25">
        <v>2</v>
      </c>
      <c r="M8" s="25">
        <v>3</v>
      </c>
      <c r="N8" s="25">
        <v>4</v>
      </c>
      <c r="O8" s="25">
        <v>5</v>
      </c>
      <c r="P8" s="25">
        <v>6</v>
      </c>
      <c r="Q8" s="25">
        <v>7</v>
      </c>
      <c r="R8" s="25">
        <v>8</v>
      </c>
      <c r="S8" s="25">
        <v>9</v>
      </c>
      <c r="T8" s="25">
        <v>10</v>
      </c>
      <c r="U8" s="25">
        <v>11</v>
      </c>
      <c r="V8" s="25">
        <v>12</v>
      </c>
      <c r="W8" s="25" t="s">
        <v>64</v>
      </c>
      <c r="X8" s="25">
        <v>1</v>
      </c>
      <c r="Y8" s="25">
        <v>2</v>
      </c>
      <c r="Z8" s="25">
        <v>3</v>
      </c>
      <c r="AA8" s="25">
        <v>4</v>
      </c>
      <c r="AB8" s="25">
        <v>5</v>
      </c>
      <c r="AC8" s="25">
        <v>6</v>
      </c>
      <c r="AD8" s="25">
        <v>7</v>
      </c>
      <c r="AE8" s="25">
        <v>8</v>
      </c>
      <c r="AF8" s="25">
        <v>9</v>
      </c>
      <c r="AG8" s="25">
        <v>10</v>
      </c>
      <c r="AH8" s="25">
        <v>11</v>
      </c>
      <c r="AI8" s="25">
        <v>12</v>
      </c>
      <c r="AJ8" s="25" t="s">
        <v>51</v>
      </c>
      <c r="AK8" s="25">
        <v>1</v>
      </c>
      <c r="AL8" s="25">
        <v>2</v>
      </c>
      <c r="AM8" s="25">
        <v>3</v>
      </c>
      <c r="AN8" s="25">
        <v>4</v>
      </c>
      <c r="AO8" s="25">
        <v>5</v>
      </c>
      <c r="AP8" s="25">
        <v>6</v>
      </c>
      <c r="AQ8" s="25">
        <v>7</v>
      </c>
      <c r="AR8" s="25">
        <v>8</v>
      </c>
      <c r="AS8" s="25">
        <v>9</v>
      </c>
      <c r="AT8" s="25">
        <v>10</v>
      </c>
      <c r="AU8" s="25">
        <v>11</v>
      </c>
      <c r="AV8" s="25">
        <v>12</v>
      </c>
      <c r="AW8" s="25" t="s">
        <v>64</v>
      </c>
    </row>
    <row r="9" spans="3:49" ht="15.75" thickBot="1" x14ac:dyDescent="0.3">
      <c r="C9" s="6" t="s">
        <v>31</v>
      </c>
      <c r="D9" s="10">
        <v>1</v>
      </c>
      <c r="E9" s="10">
        <v>1</v>
      </c>
      <c r="F9" s="10">
        <v>1</v>
      </c>
      <c r="G9" s="27"/>
      <c r="I9" s="31" t="s">
        <v>66</v>
      </c>
      <c r="J9" s="28" t="s">
        <v>82</v>
      </c>
      <c r="K9" s="24">
        <v>800000</v>
      </c>
      <c r="L9" s="24">
        <v>800000</v>
      </c>
      <c r="M9" s="24">
        <v>800000</v>
      </c>
      <c r="N9" s="24">
        <v>800000</v>
      </c>
      <c r="O9" s="24">
        <v>800000</v>
      </c>
      <c r="P9" s="24">
        <v>800000</v>
      </c>
      <c r="Q9" s="24">
        <v>800000</v>
      </c>
      <c r="R9" s="24">
        <v>800000</v>
      </c>
      <c r="S9" s="24">
        <v>800000</v>
      </c>
      <c r="T9" s="24">
        <v>800000</v>
      </c>
      <c r="U9" s="24">
        <v>800000</v>
      </c>
      <c r="V9" s="24">
        <v>800000</v>
      </c>
      <c r="W9" s="36">
        <f>SUM(K9:V9)</f>
        <v>9600000</v>
      </c>
    </row>
    <row r="10" spans="3:49" ht="15.75" thickBot="1" x14ac:dyDescent="0.3">
      <c r="C10" s="6" t="s">
        <v>29</v>
      </c>
      <c r="D10" s="11">
        <f>+'INGRESOS '!B20</f>
        <v>2000000</v>
      </c>
      <c r="E10" s="10"/>
      <c r="F10" s="10"/>
      <c r="G10" s="27"/>
      <c r="H10" s="379" t="s">
        <v>78</v>
      </c>
      <c r="I10" t="s">
        <v>79</v>
      </c>
      <c r="J10" s="34">
        <v>0.04</v>
      </c>
      <c r="K10" s="24">
        <f>+K9*$J$10</f>
        <v>32000</v>
      </c>
      <c r="L10" s="24">
        <f t="shared" ref="L10:V10" si="0">+L9*$J$10</f>
        <v>32000</v>
      </c>
      <c r="M10" s="24">
        <f t="shared" si="0"/>
        <v>32000</v>
      </c>
      <c r="N10" s="24">
        <f t="shared" si="0"/>
        <v>32000</v>
      </c>
      <c r="O10" s="24">
        <f t="shared" si="0"/>
        <v>32000</v>
      </c>
      <c r="P10" s="24">
        <f t="shared" si="0"/>
        <v>32000</v>
      </c>
      <c r="Q10" s="24">
        <f t="shared" si="0"/>
        <v>32000</v>
      </c>
      <c r="R10" s="24">
        <f t="shared" si="0"/>
        <v>32000</v>
      </c>
      <c r="S10" s="24">
        <f t="shared" si="0"/>
        <v>32000</v>
      </c>
      <c r="T10" s="24">
        <f t="shared" si="0"/>
        <v>32000</v>
      </c>
      <c r="U10" s="24">
        <f t="shared" si="0"/>
        <v>32000</v>
      </c>
      <c r="V10" s="24">
        <f t="shared" si="0"/>
        <v>32000</v>
      </c>
      <c r="W10" s="36">
        <f>SUM(K10:V10)</f>
        <v>384000</v>
      </c>
    </row>
    <row r="11" spans="3:49" ht="15.75" thickBot="1" x14ac:dyDescent="0.3">
      <c r="C11" s="3" t="s">
        <v>32</v>
      </c>
      <c r="D11" s="12">
        <f>+D10</f>
        <v>2000000</v>
      </c>
      <c r="E11" s="13"/>
      <c r="F11" s="13"/>
      <c r="G11" s="31"/>
      <c r="H11" s="380"/>
      <c r="I11" t="s">
        <v>81</v>
      </c>
      <c r="J11" s="35">
        <v>8.5000000000000006E-2</v>
      </c>
      <c r="K11" s="24">
        <f>+K9*$J$11</f>
        <v>68000</v>
      </c>
      <c r="L11" s="24">
        <f t="shared" ref="L11:V11" si="1">+L9*$J$11</f>
        <v>68000</v>
      </c>
      <c r="M11" s="24">
        <f t="shared" si="1"/>
        <v>68000</v>
      </c>
      <c r="N11" s="24">
        <f t="shared" si="1"/>
        <v>68000</v>
      </c>
      <c r="O11" s="24">
        <f t="shared" si="1"/>
        <v>68000</v>
      </c>
      <c r="P11" s="24">
        <f t="shared" si="1"/>
        <v>68000</v>
      </c>
      <c r="Q11" s="24">
        <f t="shared" si="1"/>
        <v>68000</v>
      </c>
      <c r="R11" s="24">
        <f t="shared" si="1"/>
        <v>68000</v>
      </c>
      <c r="S11" s="24">
        <f t="shared" si="1"/>
        <v>68000</v>
      </c>
      <c r="T11" s="24">
        <f t="shared" si="1"/>
        <v>68000</v>
      </c>
      <c r="U11" s="24">
        <f t="shared" si="1"/>
        <v>68000</v>
      </c>
      <c r="V11" s="24">
        <f t="shared" si="1"/>
        <v>68000</v>
      </c>
      <c r="W11" s="36">
        <f>SUM(K11:V11)</f>
        <v>816000</v>
      </c>
    </row>
    <row r="12" spans="3:49" ht="15.75" thickBot="1" x14ac:dyDescent="0.3">
      <c r="C12" s="6" t="s">
        <v>33</v>
      </c>
      <c r="D12" s="10">
        <v>1</v>
      </c>
      <c r="E12" s="10">
        <v>1</v>
      </c>
      <c r="F12" s="10">
        <v>1</v>
      </c>
      <c r="G12" s="27"/>
      <c r="H12" s="380"/>
      <c r="I12" t="s">
        <v>76</v>
      </c>
      <c r="J12" s="34">
        <v>0.04</v>
      </c>
      <c r="K12" s="24">
        <f>+K9*$J$12</f>
        <v>32000</v>
      </c>
      <c r="L12" s="24">
        <f t="shared" ref="L12:V12" si="2">+L9*$J$12</f>
        <v>32000</v>
      </c>
      <c r="M12" s="24">
        <f t="shared" si="2"/>
        <v>32000</v>
      </c>
      <c r="N12" s="24">
        <f t="shared" si="2"/>
        <v>32000</v>
      </c>
      <c r="O12" s="24">
        <f t="shared" si="2"/>
        <v>32000</v>
      </c>
      <c r="P12" s="24">
        <f t="shared" si="2"/>
        <v>32000</v>
      </c>
      <c r="Q12" s="24">
        <f t="shared" si="2"/>
        <v>32000</v>
      </c>
      <c r="R12" s="24">
        <f t="shared" si="2"/>
        <v>32000</v>
      </c>
      <c r="S12" s="24">
        <f t="shared" si="2"/>
        <v>32000</v>
      </c>
      <c r="T12" s="24">
        <f t="shared" si="2"/>
        <v>32000</v>
      </c>
      <c r="U12" s="24">
        <f t="shared" si="2"/>
        <v>32000</v>
      </c>
      <c r="V12" s="24">
        <f t="shared" si="2"/>
        <v>32000</v>
      </c>
      <c r="W12" s="36">
        <f>SUM(K12:V12)</f>
        <v>384000</v>
      </c>
    </row>
    <row r="13" spans="3:49" ht="15.75" thickBot="1" x14ac:dyDescent="0.3">
      <c r="C13" s="6" t="s">
        <v>29</v>
      </c>
      <c r="D13" s="12">
        <f>+'INGRESOS '!B21</f>
        <v>3500000</v>
      </c>
      <c r="E13" s="10"/>
      <c r="F13" s="10"/>
      <c r="G13" s="27"/>
      <c r="H13" s="380"/>
      <c r="I13" t="s">
        <v>77</v>
      </c>
      <c r="J13" s="34">
        <v>0.12</v>
      </c>
      <c r="K13" s="24">
        <f>+K9*$J$13</f>
        <v>96000</v>
      </c>
      <c r="L13" s="24">
        <f t="shared" ref="L13:V13" si="3">+L9*$J$13</f>
        <v>96000</v>
      </c>
      <c r="M13" s="24">
        <f t="shared" si="3"/>
        <v>96000</v>
      </c>
      <c r="N13" s="24">
        <f t="shared" si="3"/>
        <v>96000</v>
      </c>
      <c r="O13" s="24">
        <f t="shared" si="3"/>
        <v>96000</v>
      </c>
      <c r="P13" s="24">
        <f t="shared" si="3"/>
        <v>96000</v>
      </c>
      <c r="Q13" s="24">
        <f t="shared" si="3"/>
        <v>96000</v>
      </c>
      <c r="R13" s="24">
        <f t="shared" si="3"/>
        <v>96000</v>
      </c>
      <c r="S13" s="24">
        <f t="shared" si="3"/>
        <v>96000</v>
      </c>
      <c r="T13" s="24">
        <f t="shared" si="3"/>
        <v>96000</v>
      </c>
      <c r="U13" s="24">
        <f t="shared" si="3"/>
        <v>96000</v>
      </c>
      <c r="V13" s="24">
        <f t="shared" si="3"/>
        <v>96000</v>
      </c>
      <c r="W13" s="36">
        <f>SUM(K13:V13)</f>
        <v>1152000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</row>
    <row r="14" spans="3:49" ht="15.75" thickBot="1" x14ac:dyDescent="0.3">
      <c r="C14" s="3" t="s">
        <v>34</v>
      </c>
      <c r="D14" s="12">
        <f>+D13</f>
        <v>3500000</v>
      </c>
      <c r="E14" s="13"/>
      <c r="F14" s="13"/>
      <c r="G14" s="31"/>
      <c r="H14" s="380"/>
      <c r="I14" t="s">
        <v>80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36">
        <f>SUM(W9:W13)</f>
        <v>12336000</v>
      </c>
    </row>
    <row r="15" spans="3:49" ht="15.75" thickBot="1" x14ac:dyDescent="0.3">
      <c r="C15" s="6" t="s">
        <v>35</v>
      </c>
      <c r="D15" s="10" t="s">
        <v>36</v>
      </c>
      <c r="E15" s="10" t="s">
        <v>36</v>
      </c>
      <c r="F15" s="10">
        <v>1</v>
      </c>
      <c r="G15" s="27"/>
      <c r="H15" s="45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3:49" ht="18.75" customHeight="1" thickBot="1" x14ac:dyDescent="0.3">
      <c r="C16" s="6" t="s">
        <v>29</v>
      </c>
      <c r="D16" s="11"/>
      <c r="E16" s="11"/>
      <c r="F16" s="11"/>
      <c r="G16" s="29"/>
      <c r="H16" s="379" t="s">
        <v>70</v>
      </c>
      <c r="I16" t="s">
        <v>67</v>
      </c>
      <c r="J16" s="34">
        <v>0.02</v>
      </c>
      <c r="K16" s="24">
        <f>+K9*$J$16</f>
        <v>16000</v>
      </c>
      <c r="L16" s="24">
        <f t="shared" ref="L16:V16" si="4">+L9*$J$16</f>
        <v>16000</v>
      </c>
      <c r="M16" s="24">
        <f t="shared" si="4"/>
        <v>16000</v>
      </c>
      <c r="N16" s="24">
        <f t="shared" si="4"/>
        <v>16000</v>
      </c>
      <c r="O16" s="24">
        <f t="shared" si="4"/>
        <v>16000</v>
      </c>
      <c r="P16" s="24">
        <f t="shared" si="4"/>
        <v>16000</v>
      </c>
      <c r="Q16" s="24">
        <f t="shared" si="4"/>
        <v>16000</v>
      </c>
      <c r="R16" s="24">
        <f t="shared" si="4"/>
        <v>16000</v>
      </c>
      <c r="S16" s="24">
        <f t="shared" si="4"/>
        <v>16000</v>
      </c>
      <c r="T16" s="24">
        <f t="shared" si="4"/>
        <v>16000</v>
      </c>
      <c r="U16" s="24">
        <f t="shared" si="4"/>
        <v>16000</v>
      </c>
      <c r="V16" s="24">
        <f t="shared" si="4"/>
        <v>16000</v>
      </c>
      <c r="W16" s="36">
        <f>SUM(K16:V16)</f>
        <v>192000</v>
      </c>
    </row>
    <row r="17" spans="3:49" ht="18.75" customHeight="1" thickBot="1" x14ac:dyDescent="0.3">
      <c r="C17" s="7" t="s">
        <v>37</v>
      </c>
      <c r="D17" s="14" t="s">
        <v>38</v>
      </c>
      <c r="E17" s="14"/>
      <c r="F17" s="15"/>
      <c r="G17" s="30"/>
      <c r="H17" s="382"/>
      <c r="I17" t="s">
        <v>68</v>
      </c>
      <c r="J17" s="34">
        <v>0.03</v>
      </c>
      <c r="K17" s="24">
        <f>+K9*$J$17</f>
        <v>24000</v>
      </c>
      <c r="L17" s="24">
        <f t="shared" ref="L17:V17" si="5">+L9*$J$17</f>
        <v>24000</v>
      </c>
      <c r="M17" s="24">
        <f t="shared" si="5"/>
        <v>24000</v>
      </c>
      <c r="N17" s="24">
        <f t="shared" si="5"/>
        <v>24000</v>
      </c>
      <c r="O17" s="24">
        <f t="shared" si="5"/>
        <v>24000</v>
      </c>
      <c r="P17" s="24">
        <f t="shared" si="5"/>
        <v>24000</v>
      </c>
      <c r="Q17" s="24">
        <f t="shared" si="5"/>
        <v>24000</v>
      </c>
      <c r="R17" s="24">
        <f t="shared" si="5"/>
        <v>24000</v>
      </c>
      <c r="S17" s="24">
        <f t="shared" si="5"/>
        <v>24000</v>
      </c>
      <c r="T17" s="24">
        <f t="shared" si="5"/>
        <v>24000</v>
      </c>
      <c r="U17" s="24">
        <f t="shared" si="5"/>
        <v>24000</v>
      </c>
      <c r="V17" s="24">
        <f t="shared" si="5"/>
        <v>24000</v>
      </c>
      <c r="W17" s="36">
        <f t="shared" ref="W17:W22" si="6">SUM(K17:V17)</f>
        <v>288000</v>
      </c>
    </row>
    <row r="18" spans="3:49" ht="27.75" customHeight="1" thickBot="1" x14ac:dyDescent="0.3">
      <c r="C18" s="16" t="s">
        <v>39</v>
      </c>
      <c r="D18" s="17"/>
      <c r="E18" s="17"/>
      <c r="F18" s="17"/>
      <c r="G18" s="31"/>
      <c r="H18" s="382"/>
      <c r="I18" t="s">
        <v>69</v>
      </c>
      <c r="J18" s="34">
        <v>0.04</v>
      </c>
      <c r="K18" s="24">
        <f>+K9*$J$18</f>
        <v>32000</v>
      </c>
      <c r="L18" s="24">
        <f t="shared" ref="L18:V18" si="7">+L9*$J$18</f>
        <v>32000</v>
      </c>
      <c r="M18" s="24">
        <f t="shared" si="7"/>
        <v>32000</v>
      </c>
      <c r="N18" s="24">
        <f t="shared" si="7"/>
        <v>32000</v>
      </c>
      <c r="O18" s="24">
        <f t="shared" si="7"/>
        <v>32000</v>
      </c>
      <c r="P18" s="24">
        <f t="shared" si="7"/>
        <v>32000</v>
      </c>
      <c r="Q18" s="24">
        <f t="shared" si="7"/>
        <v>32000</v>
      </c>
      <c r="R18" s="24">
        <f t="shared" si="7"/>
        <v>32000</v>
      </c>
      <c r="S18" s="24">
        <f t="shared" si="7"/>
        <v>32000</v>
      </c>
      <c r="T18" s="24">
        <f t="shared" si="7"/>
        <v>32000</v>
      </c>
      <c r="U18" s="24">
        <f t="shared" si="7"/>
        <v>32000</v>
      </c>
      <c r="V18" s="24">
        <f t="shared" si="7"/>
        <v>32000</v>
      </c>
      <c r="W18" s="36">
        <f t="shared" si="6"/>
        <v>384000</v>
      </c>
    </row>
    <row r="19" spans="3:49" ht="23.25" customHeight="1" x14ac:dyDescent="0.25">
      <c r="C19" s="18"/>
      <c r="D19" s="18"/>
      <c r="E19" s="18"/>
      <c r="F19" s="18"/>
      <c r="G19" s="18"/>
      <c r="H19" s="379" t="s">
        <v>75</v>
      </c>
      <c r="I19" s="33" t="s">
        <v>71</v>
      </c>
      <c r="J19" s="38">
        <v>8.3299999999999999E-2</v>
      </c>
      <c r="K19" s="24">
        <f>+K9*$J$19</f>
        <v>66640</v>
      </c>
      <c r="L19" s="24">
        <f t="shared" ref="L19:V19" si="8">+L9*$J$19</f>
        <v>66640</v>
      </c>
      <c r="M19" s="24">
        <f t="shared" si="8"/>
        <v>66640</v>
      </c>
      <c r="N19" s="24">
        <f t="shared" si="8"/>
        <v>66640</v>
      </c>
      <c r="O19" s="24">
        <f t="shared" si="8"/>
        <v>66640</v>
      </c>
      <c r="P19" s="24">
        <f t="shared" si="8"/>
        <v>66640</v>
      </c>
      <c r="Q19" s="24">
        <f t="shared" si="8"/>
        <v>66640</v>
      </c>
      <c r="R19" s="24">
        <f t="shared" si="8"/>
        <v>66640</v>
      </c>
      <c r="S19" s="24">
        <f t="shared" si="8"/>
        <v>66640</v>
      </c>
      <c r="T19" s="24">
        <f t="shared" si="8"/>
        <v>66640</v>
      </c>
      <c r="U19" s="24">
        <f t="shared" si="8"/>
        <v>66640</v>
      </c>
      <c r="V19" s="24">
        <f t="shared" si="8"/>
        <v>66640</v>
      </c>
      <c r="W19" s="36">
        <f t="shared" si="6"/>
        <v>799680</v>
      </c>
    </row>
    <row r="20" spans="3:49" ht="26.25" customHeight="1" thickBot="1" x14ac:dyDescent="0.3">
      <c r="C20" s="381" t="s">
        <v>40</v>
      </c>
      <c r="D20" s="381"/>
      <c r="E20" s="381"/>
      <c r="F20" s="381"/>
      <c r="G20" s="28"/>
      <c r="H20" s="382"/>
      <c r="I20" s="33" t="s">
        <v>72</v>
      </c>
      <c r="J20" s="38">
        <v>8.3299999999999999E-2</v>
      </c>
      <c r="K20" s="24">
        <f>+K9*$J$20</f>
        <v>66640</v>
      </c>
      <c r="L20" s="24">
        <f t="shared" ref="L20:V20" si="9">+L9*$J$20</f>
        <v>66640</v>
      </c>
      <c r="M20" s="24">
        <f t="shared" si="9"/>
        <v>66640</v>
      </c>
      <c r="N20" s="24">
        <f t="shared" si="9"/>
        <v>66640</v>
      </c>
      <c r="O20" s="24">
        <f t="shared" si="9"/>
        <v>66640</v>
      </c>
      <c r="P20" s="24">
        <f t="shared" si="9"/>
        <v>66640</v>
      </c>
      <c r="Q20" s="24">
        <f t="shared" si="9"/>
        <v>66640</v>
      </c>
      <c r="R20" s="24">
        <f t="shared" si="9"/>
        <v>66640</v>
      </c>
      <c r="S20" s="24">
        <f t="shared" si="9"/>
        <v>66640</v>
      </c>
      <c r="T20" s="24">
        <f t="shared" si="9"/>
        <v>66640</v>
      </c>
      <c r="U20" s="24">
        <f t="shared" si="9"/>
        <v>66640</v>
      </c>
      <c r="V20" s="24">
        <f t="shared" si="9"/>
        <v>66640</v>
      </c>
      <c r="W20" s="36">
        <f t="shared" si="6"/>
        <v>799680</v>
      </c>
    </row>
    <row r="21" spans="3:49" ht="23.25" customHeight="1" thickBot="1" x14ac:dyDescent="0.3">
      <c r="C21" s="1" t="s">
        <v>27</v>
      </c>
      <c r="D21" s="46" t="s">
        <v>1</v>
      </c>
      <c r="E21" s="46" t="s">
        <v>2</v>
      </c>
      <c r="F21" s="46" t="s">
        <v>3</v>
      </c>
      <c r="G21" s="28"/>
      <c r="H21" s="382"/>
      <c r="I21" s="33" t="s">
        <v>73</v>
      </c>
      <c r="J21" s="38">
        <v>4.1700000000000001E-2</v>
      </c>
      <c r="K21" s="24">
        <f>+K9*$J$21</f>
        <v>33360</v>
      </c>
      <c r="L21" s="24">
        <f t="shared" ref="L21:V21" si="10">+L9*$J$21</f>
        <v>33360</v>
      </c>
      <c r="M21" s="24">
        <f t="shared" si="10"/>
        <v>33360</v>
      </c>
      <c r="N21" s="24">
        <f t="shared" si="10"/>
        <v>33360</v>
      </c>
      <c r="O21" s="24">
        <f t="shared" si="10"/>
        <v>33360</v>
      </c>
      <c r="P21" s="24">
        <f t="shared" si="10"/>
        <v>33360</v>
      </c>
      <c r="Q21" s="24">
        <f t="shared" si="10"/>
        <v>33360</v>
      </c>
      <c r="R21" s="24">
        <f t="shared" si="10"/>
        <v>33360</v>
      </c>
      <c r="S21" s="24">
        <f t="shared" si="10"/>
        <v>33360</v>
      </c>
      <c r="T21" s="24">
        <f t="shared" si="10"/>
        <v>33360</v>
      </c>
      <c r="U21" s="24">
        <f t="shared" si="10"/>
        <v>33360</v>
      </c>
      <c r="V21" s="24">
        <f t="shared" si="10"/>
        <v>33360</v>
      </c>
      <c r="W21" s="36">
        <f t="shared" si="6"/>
        <v>400320</v>
      </c>
    </row>
    <row r="22" spans="3:49" ht="30" customHeight="1" thickBot="1" x14ac:dyDescent="0.3">
      <c r="C22" s="6" t="s">
        <v>28</v>
      </c>
      <c r="D22" s="10">
        <v>1</v>
      </c>
      <c r="E22" s="10">
        <v>1</v>
      </c>
      <c r="F22" s="10">
        <v>1</v>
      </c>
      <c r="G22" s="27"/>
      <c r="H22" s="382"/>
      <c r="I22" s="33" t="s">
        <v>74</v>
      </c>
      <c r="J22" s="37">
        <v>0.01</v>
      </c>
      <c r="K22" s="24">
        <f>+K9*$J$22</f>
        <v>8000</v>
      </c>
      <c r="L22" s="24">
        <f t="shared" ref="L22:V22" si="11">+L9*$J$22</f>
        <v>8000</v>
      </c>
      <c r="M22" s="24">
        <f t="shared" si="11"/>
        <v>8000</v>
      </c>
      <c r="N22" s="24">
        <f t="shared" si="11"/>
        <v>8000</v>
      </c>
      <c r="O22" s="24">
        <f t="shared" si="11"/>
        <v>8000</v>
      </c>
      <c r="P22" s="24">
        <f t="shared" si="11"/>
        <v>8000</v>
      </c>
      <c r="Q22" s="24">
        <f t="shared" si="11"/>
        <v>8000</v>
      </c>
      <c r="R22" s="24">
        <f t="shared" si="11"/>
        <v>8000</v>
      </c>
      <c r="S22" s="24">
        <f t="shared" si="11"/>
        <v>8000</v>
      </c>
      <c r="T22" s="24">
        <f t="shared" si="11"/>
        <v>8000</v>
      </c>
      <c r="U22" s="24">
        <f t="shared" si="11"/>
        <v>8000</v>
      </c>
      <c r="V22" s="24">
        <f t="shared" si="11"/>
        <v>8000</v>
      </c>
      <c r="W22" s="36">
        <f t="shared" si="6"/>
        <v>96000</v>
      </c>
    </row>
    <row r="23" spans="3:49" ht="15.75" thickBot="1" x14ac:dyDescent="0.3">
      <c r="C23" s="6" t="s">
        <v>29</v>
      </c>
      <c r="D23" s="11"/>
      <c r="E23" s="11"/>
      <c r="F23" s="11"/>
      <c r="G23" s="29"/>
      <c r="W23" s="36">
        <f>SUM(W16:W22)</f>
        <v>2959680</v>
      </c>
    </row>
    <row r="24" spans="3:49" ht="15.75" thickBot="1" x14ac:dyDescent="0.3">
      <c r="C24" s="3" t="s">
        <v>41</v>
      </c>
      <c r="D24" s="12"/>
      <c r="E24" s="12"/>
      <c r="F24" s="12"/>
      <c r="G24" s="30"/>
    </row>
    <row r="25" spans="3:49" ht="15.75" thickBot="1" x14ac:dyDescent="0.3">
      <c r="C25" s="6" t="s">
        <v>31</v>
      </c>
      <c r="D25" s="10">
        <v>1</v>
      </c>
      <c r="E25" s="10">
        <v>1</v>
      </c>
      <c r="F25" s="10">
        <v>1</v>
      </c>
      <c r="G25" s="27"/>
    </row>
    <row r="26" spans="3:49" ht="15.75" customHeight="1" thickBot="1" x14ac:dyDescent="0.3">
      <c r="C26" s="6" t="s">
        <v>29</v>
      </c>
      <c r="D26" s="11"/>
      <c r="E26" s="11"/>
      <c r="F26" s="11"/>
      <c r="G26" s="29"/>
      <c r="I26" s="39" t="s">
        <v>65</v>
      </c>
      <c r="K26" s="25">
        <v>1</v>
      </c>
      <c r="L26" s="25">
        <v>2</v>
      </c>
      <c r="M26" s="25">
        <v>3</v>
      </c>
      <c r="N26" s="25">
        <v>4</v>
      </c>
      <c r="O26" s="25">
        <v>5</v>
      </c>
      <c r="P26" s="25">
        <v>6</v>
      </c>
      <c r="Q26" s="25">
        <v>7</v>
      </c>
      <c r="R26" s="25">
        <v>8</v>
      </c>
      <c r="S26" s="25">
        <v>9</v>
      </c>
      <c r="T26" s="25">
        <v>10</v>
      </c>
      <c r="U26" s="25">
        <v>11</v>
      </c>
      <c r="V26" s="25">
        <v>12</v>
      </c>
      <c r="W26" s="25" t="s">
        <v>64</v>
      </c>
      <c r="X26" s="25">
        <v>1</v>
      </c>
      <c r="Y26" s="25">
        <v>2</v>
      </c>
      <c r="Z26" s="25">
        <v>3</v>
      </c>
      <c r="AA26" s="25">
        <v>4</v>
      </c>
      <c r="AB26" s="25">
        <v>5</v>
      </c>
      <c r="AC26" s="25">
        <v>6</v>
      </c>
      <c r="AD26" s="25">
        <v>7</v>
      </c>
      <c r="AE26" s="25">
        <v>8</v>
      </c>
      <c r="AF26" s="25">
        <v>9</v>
      </c>
      <c r="AG26" s="25">
        <v>10</v>
      </c>
      <c r="AH26" s="25">
        <v>11</v>
      </c>
      <c r="AI26" s="25">
        <v>12</v>
      </c>
      <c r="AJ26" s="25" t="s">
        <v>51</v>
      </c>
      <c r="AK26" s="25">
        <v>1</v>
      </c>
      <c r="AL26" s="25">
        <v>2</v>
      </c>
      <c r="AM26" s="25">
        <v>3</v>
      </c>
      <c r="AN26" s="25">
        <v>4</v>
      </c>
      <c r="AO26" s="25">
        <v>5</v>
      </c>
      <c r="AP26" s="25">
        <v>6</v>
      </c>
      <c r="AQ26" s="25">
        <v>7</v>
      </c>
      <c r="AR26" s="25">
        <v>8</v>
      </c>
      <c r="AS26" s="25">
        <v>9</v>
      </c>
      <c r="AT26" s="25">
        <v>10</v>
      </c>
      <c r="AU26" s="25">
        <v>11</v>
      </c>
      <c r="AV26" s="25">
        <v>12</v>
      </c>
      <c r="AW26" s="25" t="s">
        <v>64</v>
      </c>
    </row>
    <row r="27" spans="3:49" ht="15.75" thickBot="1" x14ac:dyDescent="0.3">
      <c r="C27" s="3" t="s">
        <v>42</v>
      </c>
      <c r="D27" s="12"/>
      <c r="E27" s="12"/>
      <c r="F27" s="12"/>
      <c r="G27" s="30"/>
      <c r="I27" s="26" t="s">
        <v>87</v>
      </c>
      <c r="J27" s="28" t="s">
        <v>82</v>
      </c>
      <c r="K27" s="24">
        <v>600000</v>
      </c>
      <c r="L27" s="24">
        <v>600000</v>
      </c>
      <c r="M27" s="24">
        <v>600000</v>
      </c>
      <c r="N27" s="24">
        <v>600000</v>
      </c>
      <c r="O27" s="24">
        <v>600000</v>
      </c>
      <c r="P27" s="24">
        <v>600000</v>
      </c>
      <c r="Q27" s="24">
        <v>600000</v>
      </c>
      <c r="R27" s="24">
        <v>600000</v>
      </c>
      <c r="S27" s="24">
        <v>600000</v>
      </c>
      <c r="T27" s="24">
        <v>600000</v>
      </c>
      <c r="U27" s="24">
        <v>600000</v>
      </c>
      <c r="V27" s="24">
        <v>600000</v>
      </c>
      <c r="W27" s="36">
        <f>SUM(K27:V27)</f>
        <v>7200000</v>
      </c>
    </row>
    <row r="28" spans="3:49" ht="15.75" thickBot="1" x14ac:dyDescent="0.3">
      <c r="C28" s="6" t="s">
        <v>33</v>
      </c>
      <c r="D28" s="10">
        <v>1</v>
      </c>
      <c r="E28" s="10">
        <v>1</v>
      </c>
      <c r="F28" s="10">
        <v>1</v>
      </c>
      <c r="G28" s="27"/>
      <c r="H28" s="379" t="s">
        <v>78</v>
      </c>
      <c r="I28" t="s">
        <v>79</v>
      </c>
      <c r="J28" s="34">
        <v>0.04</v>
      </c>
      <c r="K28">
        <f>+K27*$J$10</f>
        <v>24000</v>
      </c>
      <c r="L28">
        <f t="shared" ref="L28:V28" si="12">+L27*$J$10</f>
        <v>24000</v>
      </c>
      <c r="M28">
        <f t="shared" si="12"/>
        <v>24000</v>
      </c>
      <c r="N28">
        <f t="shared" si="12"/>
        <v>24000</v>
      </c>
      <c r="O28">
        <f t="shared" si="12"/>
        <v>24000</v>
      </c>
      <c r="P28">
        <f t="shared" si="12"/>
        <v>24000</v>
      </c>
      <c r="Q28">
        <f t="shared" si="12"/>
        <v>24000</v>
      </c>
      <c r="R28">
        <f t="shared" si="12"/>
        <v>24000</v>
      </c>
      <c r="S28">
        <f t="shared" si="12"/>
        <v>24000</v>
      </c>
      <c r="T28">
        <f t="shared" si="12"/>
        <v>24000</v>
      </c>
      <c r="U28">
        <f t="shared" si="12"/>
        <v>24000</v>
      </c>
      <c r="V28">
        <f t="shared" si="12"/>
        <v>24000</v>
      </c>
      <c r="W28" s="36">
        <f>SUM(K28:V28)</f>
        <v>288000</v>
      </c>
    </row>
    <row r="29" spans="3:49" ht="15.75" thickBot="1" x14ac:dyDescent="0.3">
      <c r="C29" s="6" t="s">
        <v>29</v>
      </c>
      <c r="D29" s="10"/>
      <c r="E29" s="10"/>
      <c r="F29" s="10"/>
      <c r="G29" s="27"/>
      <c r="H29" s="380"/>
      <c r="I29" t="s">
        <v>81</v>
      </c>
      <c r="J29" s="35">
        <v>8.5000000000000006E-2</v>
      </c>
      <c r="K29">
        <f>+K27*$J$11</f>
        <v>51000.000000000007</v>
      </c>
      <c r="L29">
        <f t="shared" ref="L29:V29" si="13">+L27*$J$11</f>
        <v>51000.000000000007</v>
      </c>
      <c r="M29">
        <f t="shared" si="13"/>
        <v>51000.000000000007</v>
      </c>
      <c r="N29">
        <f t="shared" si="13"/>
        <v>51000.000000000007</v>
      </c>
      <c r="O29">
        <f t="shared" si="13"/>
        <v>51000.000000000007</v>
      </c>
      <c r="P29">
        <f t="shared" si="13"/>
        <v>51000.000000000007</v>
      </c>
      <c r="Q29">
        <f t="shared" si="13"/>
        <v>51000.000000000007</v>
      </c>
      <c r="R29">
        <f t="shared" si="13"/>
        <v>51000.000000000007</v>
      </c>
      <c r="S29">
        <f t="shared" si="13"/>
        <v>51000.000000000007</v>
      </c>
      <c r="T29">
        <f t="shared" si="13"/>
        <v>51000.000000000007</v>
      </c>
      <c r="U29">
        <f t="shared" si="13"/>
        <v>51000.000000000007</v>
      </c>
      <c r="V29">
        <f t="shared" si="13"/>
        <v>51000.000000000007</v>
      </c>
      <c r="W29" s="36">
        <f>SUM(K29:V29)</f>
        <v>612000.00000000012</v>
      </c>
    </row>
    <row r="30" spans="3:49" ht="15.75" thickBot="1" x14ac:dyDescent="0.3">
      <c r="C30" s="3" t="s">
        <v>43</v>
      </c>
      <c r="D30" s="13"/>
      <c r="E30" s="13"/>
      <c r="F30" s="13"/>
      <c r="G30" s="31"/>
      <c r="H30" s="380"/>
      <c r="I30" t="s">
        <v>76</v>
      </c>
      <c r="J30" s="34">
        <v>0.04</v>
      </c>
      <c r="K30">
        <f>+K27*$J$12</f>
        <v>24000</v>
      </c>
      <c r="L30">
        <f t="shared" ref="L30:V30" si="14">+L27*$J$12</f>
        <v>24000</v>
      </c>
      <c r="M30">
        <f t="shared" si="14"/>
        <v>24000</v>
      </c>
      <c r="N30">
        <f t="shared" si="14"/>
        <v>24000</v>
      </c>
      <c r="O30">
        <f t="shared" si="14"/>
        <v>24000</v>
      </c>
      <c r="P30">
        <f t="shared" si="14"/>
        <v>24000</v>
      </c>
      <c r="Q30">
        <f t="shared" si="14"/>
        <v>24000</v>
      </c>
      <c r="R30">
        <f t="shared" si="14"/>
        <v>24000</v>
      </c>
      <c r="S30">
        <f t="shared" si="14"/>
        <v>24000</v>
      </c>
      <c r="T30">
        <f t="shared" si="14"/>
        <v>24000</v>
      </c>
      <c r="U30">
        <f t="shared" si="14"/>
        <v>24000</v>
      </c>
      <c r="V30">
        <f t="shared" si="14"/>
        <v>24000</v>
      </c>
      <c r="W30" s="36">
        <f>SUM(K30:V30)</f>
        <v>288000</v>
      </c>
    </row>
    <row r="31" spans="3:49" ht="15.75" thickBot="1" x14ac:dyDescent="0.3">
      <c r="C31" s="6" t="s">
        <v>35</v>
      </c>
      <c r="D31" s="10">
        <v>1</v>
      </c>
      <c r="E31" s="10">
        <v>1</v>
      </c>
      <c r="F31" s="10">
        <v>1</v>
      </c>
      <c r="G31" s="27"/>
      <c r="H31" s="380"/>
      <c r="I31" t="s">
        <v>77</v>
      </c>
      <c r="J31" s="34">
        <v>0.12</v>
      </c>
      <c r="K31" s="24">
        <f>+K27*$J$13</f>
        <v>72000</v>
      </c>
      <c r="L31" s="24">
        <f t="shared" ref="L31:V31" si="15">+L27*$J$13</f>
        <v>72000</v>
      </c>
      <c r="M31" s="24">
        <f t="shared" si="15"/>
        <v>72000</v>
      </c>
      <c r="N31" s="24">
        <f t="shared" si="15"/>
        <v>72000</v>
      </c>
      <c r="O31" s="24">
        <f t="shared" si="15"/>
        <v>72000</v>
      </c>
      <c r="P31" s="24">
        <f t="shared" si="15"/>
        <v>72000</v>
      </c>
      <c r="Q31" s="24">
        <f t="shared" si="15"/>
        <v>72000</v>
      </c>
      <c r="R31" s="24">
        <f t="shared" si="15"/>
        <v>72000</v>
      </c>
      <c r="S31" s="24">
        <f t="shared" si="15"/>
        <v>72000</v>
      </c>
      <c r="T31" s="24">
        <f t="shared" si="15"/>
        <v>72000</v>
      </c>
      <c r="U31" s="24">
        <f t="shared" si="15"/>
        <v>72000</v>
      </c>
      <c r="V31" s="24">
        <f t="shared" si="15"/>
        <v>72000</v>
      </c>
      <c r="W31" s="36">
        <f>SUM(K31:V31)</f>
        <v>864000</v>
      </c>
    </row>
    <row r="32" spans="3:49" ht="15.75" customHeight="1" thickBot="1" x14ac:dyDescent="0.3">
      <c r="C32" s="6" t="s">
        <v>29</v>
      </c>
      <c r="D32" s="11"/>
      <c r="E32" s="11"/>
      <c r="F32" s="11"/>
      <c r="G32" s="29"/>
      <c r="H32" s="380"/>
      <c r="I32" t="s">
        <v>80</v>
      </c>
      <c r="W32" s="36">
        <f>SUM(W27:W31)</f>
        <v>9252000</v>
      </c>
    </row>
    <row r="33" spans="3:49" ht="15.75" thickBot="1" x14ac:dyDescent="0.3">
      <c r="C33" s="3" t="s">
        <v>44</v>
      </c>
      <c r="D33" s="13"/>
      <c r="E33" s="13"/>
      <c r="F33" s="12"/>
      <c r="G33" s="30"/>
      <c r="H33" s="45"/>
    </row>
    <row r="34" spans="3:49" ht="15.75" thickBot="1" x14ac:dyDescent="0.3">
      <c r="C34" s="7" t="s">
        <v>45</v>
      </c>
      <c r="D34" s="19">
        <v>0.52</v>
      </c>
      <c r="E34" s="19">
        <v>0.52</v>
      </c>
      <c r="F34" s="19">
        <v>0.52</v>
      </c>
      <c r="G34" s="32"/>
      <c r="H34" s="379" t="s">
        <v>70</v>
      </c>
      <c r="I34" t="s">
        <v>67</v>
      </c>
      <c r="J34" s="34">
        <v>0.02</v>
      </c>
      <c r="K34" s="40">
        <f>+K27*$J$16</f>
        <v>12000</v>
      </c>
      <c r="L34" s="40">
        <f t="shared" ref="L34:V34" si="16">+L27*$J$16</f>
        <v>12000</v>
      </c>
      <c r="M34" s="40">
        <f t="shared" si="16"/>
        <v>12000</v>
      </c>
      <c r="N34" s="40">
        <f t="shared" si="16"/>
        <v>12000</v>
      </c>
      <c r="O34" s="40">
        <f t="shared" si="16"/>
        <v>12000</v>
      </c>
      <c r="P34" s="40">
        <f t="shared" si="16"/>
        <v>12000</v>
      </c>
      <c r="Q34" s="40">
        <f t="shared" si="16"/>
        <v>12000</v>
      </c>
      <c r="R34" s="40">
        <f t="shared" si="16"/>
        <v>12000</v>
      </c>
      <c r="S34" s="40">
        <f t="shared" si="16"/>
        <v>12000</v>
      </c>
      <c r="T34" s="40">
        <f t="shared" si="16"/>
        <v>12000</v>
      </c>
      <c r="U34" s="40">
        <f t="shared" si="16"/>
        <v>12000</v>
      </c>
      <c r="V34" s="40">
        <f t="shared" si="16"/>
        <v>12000</v>
      </c>
      <c r="W34" s="36">
        <f t="shared" ref="W34:W40" si="17">SUM(K34:V34)</f>
        <v>144000</v>
      </c>
    </row>
    <row r="35" spans="3:49" ht="15.75" customHeight="1" thickBot="1" x14ac:dyDescent="0.3">
      <c r="C35" s="16" t="s">
        <v>46</v>
      </c>
      <c r="D35" s="17" t="s">
        <v>47</v>
      </c>
      <c r="E35" s="17" t="s">
        <v>48</v>
      </c>
      <c r="F35" s="17" t="s">
        <v>49</v>
      </c>
      <c r="G35" s="31"/>
      <c r="H35" s="382"/>
      <c r="I35" t="s">
        <v>68</v>
      </c>
      <c r="J35" s="34">
        <v>0.03</v>
      </c>
      <c r="K35" s="40">
        <f>+K27*$J$17</f>
        <v>18000</v>
      </c>
      <c r="L35" s="40">
        <f t="shared" ref="L35:V35" si="18">+L27*$J$17</f>
        <v>18000</v>
      </c>
      <c r="M35" s="40">
        <f t="shared" si="18"/>
        <v>18000</v>
      </c>
      <c r="N35" s="40">
        <f t="shared" si="18"/>
        <v>18000</v>
      </c>
      <c r="O35" s="40">
        <f t="shared" si="18"/>
        <v>18000</v>
      </c>
      <c r="P35" s="40">
        <f t="shared" si="18"/>
        <v>18000</v>
      </c>
      <c r="Q35" s="40">
        <f t="shared" si="18"/>
        <v>18000</v>
      </c>
      <c r="R35" s="40">
        <f t="shared" si="18"/>
        <v>18000</v>
      </c>
      <c r="S35" s="40">
        <f t="shared" si="18"/>
        <v>18000</v>
      </c>
      <c r="T35" s="40">
        <f t="shared" si="18"/>
        <v>18000</v>
      </c>
      <c r="U35" s="40">
        <f t="shared" si="18"/>
        <v>18000</v>
      </c>
      <c r="V35" s="40">
        <f t="shared" si="18"/>
        <v>18000</v>
      </c>
      <c r="W35" s="36">
        <f t="shared" si="17"/>
        <v>216000</v>
      </c>
    </row>
    <row r="36" spans="3:49" x14ac:dyDescent="0.25">
      <c r="H36" s="382"/>
      <c r="I36" t="s">
        <v>69</v>
      </c>
      <c r="J36" s="34">
        <v>0.04</v>
      </c>
      <c r="K36" s="40">
        <f>+K27*$J$18</f>
        <v>24000</v>
      </c>
      <c r="L36" s="40">
        <f t="shared" ref="L36:V36" si="19">+L27*$J$18</f>
        <v>24000</v>
      </c>
      <c r="M36" s="40">
        <f t="shared" si="19"/>
        <v>24000</v>
      </c>
      <c r="N36" s="40">
        <f t="shared" si="19"/>
        <v>24000</v>
      </c>
      <c r="O36" s="40">
        <f t="shared" si="19"/>
        <v>24000</v>
      </c>
      <c r="P36" s="40">
        <f t="shared" si="19"/>
        <v>24000</v>
      </c>
      <c r="Q36" s="40">
        <f t="shared" si="19"/>
        <v>24000</v>
      </c>
      <c r="R36" s="40">
        <f t="shared" si="19"/>
        <v>24000</v>
      </c>
      <c r="S36" s="40">
        <f t="shared" si="19"/>
        <v>24000</v>
      </c>
      <c r="T36" s="40">
        <f t="shared" si="19"/>
        <v>24000</v>
      </c>
      <c r="U36" s="40">
        <f t="shared" si="19"/>
        <v>24000</v>
      </c>
      <c r="V36" s="40">
        <f t="shared" si="19"/>
        <v>24000</v>
      </c>
      <c r="W36" s="36">
        <f t="shared" si="17"/>
        <v>288000</v>
      </c>
    </row>
    <row r="37" spans="3:49" x14ac:dyDescent="0.25">
      <c r="H37" s="379" t="s">
        <v>75</v>
      </c>
      <c r="I37" s="33" t="s">
        <v>71</v>
      </c>
      <c r="J37" s="38">
        <v>8.3299999999999999E-2</v>
      </c>
      <c r="K37" s="40">
        <f>+K27*$J$19</f>
        <v>49980</v>
      </c>
      <c r="L37" s="40">
        <f t="shared" ref="L37:V37" si="20">+L27*$J$19</f>
        <v>49980</v>
      </c>
      <c r="M37" s="40">
        <f t="shared" si="20"/>
        <v>49980</v>
      </c>
      <c r="N37" s="40">
        <f t="shared" si="20"/>
        <v>49980</v>
      </c>
      <c r="O37" s="40">
        <f t="shared" si="20"/>
        <v>49980</v>
      </c>
      <c r="P37" s="40">
        <f t="shared" si="20"/>
        <v>49980</v>
      </c>
      <c r="Q37" s="40">
        <f t="shared" si="20"/>
        <v>49980</v>
      </c>
      <c r="R37" s="40">
        <f t="shared" si="20"/>
        <v>49980</v>
      </c>
      <c r="S37" s="40">
        <f t="shared" si="20"/>
        <v>49980</v>
      </c>
      <c r="T37" s="40">
        <f t="shared" si="20"/>
        <v>49980</v>
      </c>
      <c r="U37" s="40">
        <f t="shared" si="20"/>
        <v>49980</v>
      </c>
      <c r="V37" s="40">
        <f t="shared" si="20"/>
        <v>49980</v>
      </c>
      <c r="W37" s="36">
        <f t="shared" si="17"/>
        <v>599760</v>
      </c>
    </row>
    <row r="38" spans="3:49" x14ac:dyDescent="0.25">
      <c r="H38" s="382"/>
      <c r="I38" s="33" t="s">
        <v>72</v>
      </c>
      <c r="J38" s="38">
        <v>8.3299999999999999E-2</v>
      </c>
      <c r="K38" s="40">
        <f>+K27*$J$20</f>
        <v>49980</v>
      </c>
      <c r="L38" s="40">
        <f t="shared" ref="L38:V38" si="21">+L27*$J$20</f>
        <v>49980</v>
      </c>
      <c r="M38" s="40">
        <f t="shared" si="21"/>
        <v>49980</v>
      </c>
      <c r="N38" s="40">
        <f t="shared" si="21"/>
        <v>49980</v>
      </c>
      <c r="O38" s="40">
        <f t="shared" si="21"/>
        <v>49980</v>
      </c>
      <c r="P38" s="40">
        <f t="shared" si="21"/>
        <v>49980</v>
      </c>
      <c r="Q38" s="40">
        <f t="shared" si="21"/>
        <v>49980</v>
      </c>
      <c r="R38" s="40">
        <f t="shared" si="21"/>
        <v>49980</v>
      </c>
      <c r="S38" s="40">
        <f t="shared" si="21"/>
        <v>49980</v>
      </c>
      <c r="T38" s="40">
        <f t="shared" si="21"/>
        <v>49980</v>
      </c>
      <c r="U38" s="40">
        <f t="shared" si="21"/>
        <v>49980</v>
      </c>
      <c r="V38" s="40">
        <f t="shared" si="21"/>
        <v>49980</v>
      </c>
      <c r="W38" s="36">
        <f t="shared" si="17"/>
        <v>599760</v>
      </c>
    </row>
    <row r="39" spans="3:49" x14ac:dyDescent="0.25">
      <c r="H39" s="382"/>
      <c r="I39" s="33" t="s">
        <v>73</v>
      </c>
      <c r="J39" s="38">
        <v>4.1700000000000001E-2</v>
      </c>
      <c r="K39" s="40">
        <f>+K27*$J$21</f>
        <v>25020</v>
      </c>
      <c r="L39" s="40">
        <f t="shared" ref="L39:V39" si="22">+L27*$J$21</f>
        <v>25020</v>
      </c>
      <c r="M39" s="40">
        <f t="shared" si="22"/>
        <v>25020</v>
      </c>
      <c r="N39" s="40">
        <f t="shared" si="22"/>
        <v>25020</v>
      </c>
      <c r="O39" s="40">
        <f t="shared" si="22"/>
        <v>25020</v>
      </c>
      <c r="P39" s="40">
        <f t="shared" si="22"/>
        <v>25020</v>
      </c>
      <c r="Q39" s="40">
        <f t="shared" si="22"/>
        <v>25020</v>
      </c>
      <c r="R39" s="40">
        <f t="shared" si="22"/>
        <v>25020</v>
      </c>
      <c r="S39" s="40">
        <f t="shared" si="22"/>
        <v>25020</v>
      </c>
      <c r="T39" s="40">
        <f t="shared" si="22"/>
        <v>25020</v>
      </c>
      <c r="U39" s="40">
        <f t="shared" si="22"/>
        <v>25020</v>
      </c>
      <c r="V39" s="40">
        <f t="shared" si="22"/>
        <v>25020</v>
      </c>
      <c r="W39" s="36">
        <f t="shared" si="17"/>
        <v>300240</v>
      </c>
    </row>
    <row r="40" spans="3:49" x14ac:dyDescent="0.25">
      <c r="H40" s="382"/>
      <c r="I40" s="33" t="s">
        <v>74</v>
      </c>
      <c r="J40" s="37">
        <v>0.12</v>
      </c>
      <c r="K40" s="40">
        <f>+K37*$J$40</f>
        <v>5997.5999999999995</v>
      </c>
      <c r="L40" s="40">
        <f t="shared" ref="L40:V40" si="23">+L37*$J$40</f>
        <v>5997.5999999999995</v>
      </c>
      <c r="M40" s="40">
        <f t="shared" si="23"/>
        <v>5997.5999999999995</v>
      </c>
      <c r="N40" s="40">
        <f t="shared" si="23"/>
        <v>5997.5999999999995</v>
      </c>
      <c r="O40" s="40">
        <f t="shared" si="23"/>
        <v>5997.5999999999995</v>
      </c>
      <c r="P40" s="40">
        <f t="shared" si="23"/>
        <v>5997.5999999999995</v>
      </c>
      <c r="Q40" s="40">
        <f t="shared" si="23"/>
        <v>5997.5999999999995</v>
      </c>
      <c r="R40" s="40">
        <f t="shared" si="23"/>
        <v>5997.5999999999995</v>
      </c>
      <c r="S40" s="40">
        <f t="shared" si="23"/>
        <v>5997.5999999999995</v>
      </c>
      <c r="T40" s="40">
        <f t="shared" si="23"/>
        <v>5997.5999999999995</v>
      </c>
      <c r="U40" s="40">
        <f t="shared" si="23"/>
        <v>5997.5999999999995</v>
      </c>
      <c r="V40" s="40">
        <f t="shared" si="23"/>
        <v>5997.5999999999995</v>
      </c>
      <c r="W40" s="36">
        <f t="shared" si="17"/>
        <v>71971.199999999997</v>
      </c>
    </row>
    <row r="41" spans="3:49" x14ac:dyDescent="0.25">
      <c r="W41" s="36">
        <f>SUM(W34:W40)</f>
        <v>2219731.2000000002</v>
      </c>
    </row>
    <row r="45" spans="3:49" x14ac:dyDescent="0.25">
      <c r="I45" s="39" t="s">
        <v>65</v>
      </c>
      <c r="K45" s="25">
        <v>1</v>
      </c>
      <c r="L45" s="25">
        <v>2</v>
      </c>
      <c r="M45" s="25">
        <v>3</v>
      </c>
      <c r="N45" s="25">
        <v>4</v>
      </c>
      <c r="O45" s="25">
        <v>5</v>
      </c>
      <c r="P45" s="25">
        <v>6</v>
      </c>
      <c r="Q45" s="25">
        <v>7</v>
      </c>
      <c r="R45" s="25">
        <v>8</v>
      </c>
      <c r="S45" s="25">
        <v>9</v>
      </c>
      <c r="T45" s="25">
        <v>10</v>
      </c>
      <c r="U45" s="25">
        <v>11</v>
      </c>
      <c r="V45" s="25">
        <v>12</v>
      </c>
      <c r="W45" s="25" t="s">
        <v>64</v>
      </c>
      <c r="X45" s="25">
        <v>1</v>
      </c>
      <c r="Y45" s="25">
        <v>2</v>
      </c>
      <c r="Z45" s="25">
        <v>3</v>
      </c>
      <c r="AA45" s="25">
        <v>4</v>
      </c>
      <c r="AB45" s="25">
        <v>5</v>
      </c>
      <c r="AC45" s="25">
        <v>6</v>
      </c>
      <c r="AD45" s="25">
        <v>7</v>
      </c>
      <c r="AE45" s="25">
        <v>8</v>
      </c>
      <c r="AF45" s="25">
        <v>9</v>
      </c>
      <c r="AG45" s="25">
        <v>10</v>
      </c>
      <c r="AH45" s="25">
        <v>11</v>
      </c>
      <c r="AI45" s="25">
        <v>12</v>
      </c>
      <c r="AJ45" s="25" t="s">
        <v>51</v>
      </c>
      <c r="AK45" s="25">
        <v>1</v>
      </c>
      <c r="AL45" s="25">
        <v>2</v>
      </c>
      <c r="AM45" s="25">
        <v>3</v>
      </c>
      <c r="AN45" s="25">
        <v>4</v>
      </c>
      <c r="AO45" s="25">
        <v>5</v>
      </c>
      <c r="AP45" s="25">
        <v>6</v>
      </c>
      <c r="AQ45" s="25">
        <v>7</v>
      </c>
      <c r="AR45" s="25">
        <v>8</v>
      </c>
      <c r="AS45" s="25">
        <v>9</v>
      </c>
      <c r="AT45" s="25">
        <v>10</v>
      </c>
      <c r="AU45" s="25">
        <v>11</v>
      </c>
      <c r="AV45" s="25">
        <v>12</v>
      </c>
      <c r="AW45" s="25" t="s">
        <v>64</v>
      </c>
    </row>
    <row r="46" spans="3:49" x14ac:dyDescent="0.25">
      <c r="I46" s="26" t="s">
        <v>84</v>
      </c>
      <c r="J46" s="28" t="s">
        <v>82</v>
      </c>
      <c r="K46" s="24">
        <v>3500000</v>
      </c>
      <c r="L46" s="24">
        <v>3500000</v>
      </c>
      <c r="M46" s="24">
        <v>3500000</v>
      </c>
      <c r="N46" s="24">
        <v>3500000</v>
      </c>
      <c r="O46" s="24">
        <v>3500000</v>
      </c>
      <c r="P46" s="24">
        <v>3500000</v>
      </c>
      <c r="Q46" s="24">
        <v>3500000</v>
      </c>
      <c r="R46" s="24">
        <v>3500000</v>
      </c>
      <c r="S46" s="24">
        <v>3500000</v>
      </c>
      <c r="T46" s="24">
        <v>3500000</v>
      </c>
      <c r="U46" s="24">
        <v>3500000</v>
      </c>
      <c r="V46" s="24">
        <v>3500000</v>
      </c>
      <c r="W46" s="36">
        <f>SUM(K46:V46)</f>
        <v>42000000</v>
      </c>
    </row>
    <row r="47" spans="3:49" x14ac:dyDescent="0.25">
      <c r="H47" s="379" t="s">
        <v>78</v>
      </c>
      <c r="I47" t="s">
        <v>79</v>
      </c>
      <c r="J47" s="34">
        <v>0.04</v>
      </c>
      <c r="K47" s="24">
        <f>+K46*$J$10</f>
        <v>140000</v>
      </c>
      <c r="L47" s="24">
        <f t="shared" ref="L47:V47" si="24">+L46*$J$10</f>
        <v>140000</v>
      </c>
      <c r="M47" s="24">
        <f t="shared" si="24"/>
        <v>140000</v>
      </c>
      <c r="N47" s="24">
        <f t="shared" si="24"/>
        <v>140000</v>
      </c>
      <c r="O47" s="24">
        <f t="shared" si="24"/>
        <v>140000</v>
      </c>
      <c r="P47" s="24">
        <f t="shared" si="24"/>
        <v>140000</v>
      </c>
      <c r="Q47" s="24">
        <f t="shared" si="24"/>
        <v>140000</v>
      </c>
      <c r="R47" s="24">
        <f t="shared" si="24"/>
        <v>140000</v>
      </c>
      <c r="S47" s="24">
        <f t="shared" si="24"/>
        <v>140000</v>
      </c>
      <c r="T47" s="24">
        <f t="shared" si="24"/>
        <v>140000</v>
      </c>
      <c r="U47" s="24">
        <f t="shared" si="24"/>
        <v>140000</v>
      </c>
      <c r="V47" s="24">
        <f t="shared" si="24"/>
        <v>140000</v>
      </c>
      <c r="W47" s="36">
        <f>SUM(K47:V47)</f>
        <v>1680000</v>
      </c>
    </row>
    <row r="48" spans="3:49" x14ac:dyDescent="0.25">
      <c r="H48" s="380"/>
      <c r="I48" t="s">
        <v>81</v>
      </c>
      <c r="J48" s="35">
        <v>8.5000000000000006E-2</v>
      </c>
      <c r="K48" s="24">
        <f>+K46*$J$11</f>
        <v>297500</v>
      </c>
      <c r="L48" s="24">
        <f t="shared" ref="L48:V48" si="25">+L46*$J$11</f>
        <v>297500</v>
      </c>
      <c r="M48" s="24">
        <f t="shared" si="25"/>
        <v>297500</v>
      </c>
      <c r="N48" s="24">
        <f t="shared" si="25"/>
        <v>297500</v>
      </c>
      <c r="O48" s="24">
        <f t="shared" si="25"/>
        <v>297500</v>
      </c>
      <c r="P48" s="24">
        <f t="shared" si="25"/>
        <v>297500</v>
      </c>
      <c r="Q48" s="24">
        <f t="shared" si="25"/>
        <v>297500</v>
      </c>
      <c r="R48" s="24">
        <f t="shared" si="25"/>
        <v>297500</v>
      </c>
      <c r="S48" s="24">
        <f t="shared" si="25"/>
        <v>297500</v>
      </c>
      <c r="T48" s="24">
        <f t="shared" si="25"/>
        <v>297500</v>
      </c>
      <c r="U48" s="24">
        <f t="shared" si="25"/>
        <v>297500</v>
      </c>
      <c r="V48" s="24">
        <f t="shared" si="25"/>
        <v>297500</v>
      </c>
      <c r="W48" s="36">
        <f>SUM(K48:V48)</f>
        <v>3570000</v>
      </c>
    </row>
    <row r="49" spans="8:49" x14ac:dyDescent="0.25">
      <c r="H49" s="380"/>
      <c r="I49" t="s">
        <v>76</v>
      </c>
      <c r="J49" s="34">
        <v>0.04</v>
      </c>
      <c r="K49" s="24">
        <f>+K46*$J$12</f>
        <v>140000</v>
      </c>
      <c r="L49" s="24">
        <f t="shared" ref="L49:V49" si="26">+L46*$J$12</f>
        <v>140000</v>
      </c>
      <c r="M49" s="24">
        <f t="shared" si="26"/>
        <v>140000</v>
      </c>
      <c r="N49" s="24">
        <f t="shared" si="26"/>
        <v>140000</v>
      </c>
      <c r="O49" s="24">
        <f t="shared" si="26"/>
        <v>140000</v>
      </c>
      <c r="P49" s="24">
        <f t="shared" si="26"/>
        <v>140000</v>
      </c>
      <c r="Q49" s="24">
        <f t="shared" si="26"/>
        <v>140000</v>
      </c>
      <c r="R49" s="24">
        <f t="shared" si="26"/>
        <v>140000</v>
      </c>
      <c r="S49" s="24">
        <f t="shared" si="26"/>
        <v>140000</v>
      </c>
      <c r="T49" s="24">
        <f t="shared" si="26"/>
        <v>140000</v>
      </c>
      <c r="U49" s="24">
        <f t="shared" si="26"/>
        <v>140000</v>
      </c>
      <c r="V49" s="24">
        <f t="shared" si="26"/>
        <v>140000</v>
      </c>
      <c r="W49" s="36">
        <f>SUM(K49:V49)</f>
        <v>1680000</v>
      </c>
    </row>
    <row r="50" spans="8:49" x14ac:dyDescent="0.25">
      <c r="H50" s="380"/>
      <c r="I50" t="s">
        <v>77</v>
      </c>
      <c r="J50" s="34">
        <v>0.12</v>
      </c>
      <c r="K50" s="24">
        <f>+K46*$J$13</f>
        <v>420000</v>
      </c>
      <c r="L50" s="24">
        <f t="shared" ref="L50:V50" si="27">+L46*$J$13</f>
        <v>420000</v>
      </c>
      <c r="M50" s="24">
        <f t="shared" si="27"/>
        <v>420000</v>
      </c>
      <c r="N50" s="24">
        <f t="shared" si="27"/>
        <v>420000</v>
      </c>
      <c r="O50" s="24">
        <f t="shared" si="27"/>
        <v>420000</v>
      </c>
      <c r="P50" s="24">
        <f t="shared" si="27"/>
        <v>420000</v>
      </c>
      <c r="Q50" s="24">
        <f t="shared" si="27"/>
        <v>420000</v>
      </c>
      <c r="R50" s="24">
        <f t="shared" si="27"/>
        <v>420000</v>
      </c>
      <c r="S50" s="24">
        <f t="shared" si="27"/>
        <v>420000</v>
      </c>
      <c r="T50" s="24">
        <f t="shared" si="27"/>
        <v>420000</v>
      </c>
      <c r="U50" s="24">
        <f t="shared" si="27"/>
        <v>420000</v>
      </c>
      <c r="V50" s="24">
        <f t="shared" si="27"/>
        <v>420000</v>
      </c>
      <c r="W50" s="36">
        <f>SUM(K50:V50)</f>
        <v>5040000</v>
      </c>
    </row>
    <row r="51" spans="8:49" x14ac:dyDescent="0.25">
      <c r="H51" s="380"/>
      <c r="I51" t="s">
        <v>80</v>
      </c>
      <c r="W51" s="36">
        <f>SUM(W46:W50)</f>
        <v>53970000</v>
      </c>
    </row>
    <row r="52" spans="8:49" x14ac:dyDescent="0.25">
      <c r="H52" s="45"/>
    </row>
    <row r="53" spans="8:49" x14ac:dyDescent="0.25">
      <c r="H53" s="379" t="s">
        <v>70</v>
      </c>
      <c r="I53" t="s">
        <v>67</v>
      </c>
      <c r="J53" s="34">
        <v>0.02</v>
      </c>
      <c r="K53" s="40">
        <f>+K46*$J$16</f>
        <v>70000</v>
      </c>
      <c r="L53" s="40">
        <f t="shared" ref="L53:V53" si="28">+L46*$J$16</f>
        <v>70000</v>
      </c>
      <c r="M53" s="40">
        <f t="shared" si="28"/>
        <v>70000</v>
      </c>
      <c r="N53" s="40">
        <f t="shared" si="28"/>
        <v>70000</v>
      </c>
      <c r="O53" s="40">
        <f t="shared" si="28"/>
        <v>70000</v>
      </c>
      <c r="P53" s="40">
        <f t="shared" si="28"/>
        <v>70000</v>
      </c>
      <c r="Q53" s="40">
        <f t="shared" si="28"/>
        <v>70000</v>
      </c>
      <c r="R53" s="40">
        <f t="shared" si="28"/>
        <v>70000</v>
      </c>
      <c r="S53" s="40">
        <f t="shared" si="28"/>
        <v>70000</v>
      </c>
      <c r="T53" s="40">
        <f t="shared" si="28"/>
        <v>70000</v>
      </c>
      <c r="U53" s="40">
        <f t="shared" si="28"/>
        <v>70000</v>
      </c>
      <c r="V53" s="40">
        <f t="shared" si="28"/>
        <v>70000</v>
      </c>
      <c r="W53" s="36">
        <f>SUM(K53:V53)</f>
        <v>840000</v>
      </c>
    </row>
    <row r="54" spans="8:49" x14ac:dyDescent="0.25">
      <c r="H54" s="382"/>
      <c r="I54" t="s">
        <v>68</v>
      </c>
      <c r="J54" s="34">
        <v>0.03</v>
      </c>
      <c r="K54" s="40">
        <f>+K46*$J$17</f>
        <v>105000</v>
      </c>
      <c r="L54" s="40">
        <f t="shared" ref="L54:V54" si="29">+L46*$J$17</f>
        <v>105000</v>
      </c>
      <c r="M54" s="40">
        <f t="shared" si="29"/>
        <v>105000</v>
      </c>
      <c r="N54" s="40">
        <f t="shared" si="29"/>
        <v>105000</v>
      </c>
      <c r="O54" s="40">
        <f t="shared" si="29"/>
        <v>105000</v>
      </c>
      <c r="P54" s="40">
        <f t="shared" si="29"/>
        <v>105000</v>
      </c>
      <c r="Q54" s="40">
        <f t="shared" si="29"/>
        <v>105000</v>
      </c>
      <c r="R54" s="40">
        <f t="shared" si="29"/>
        <v>105000</v>
      </c>
      <c r="S54" s="40">
        <f t="shared" si="29"/>
        <v>105000</v>
      </c>
      <c r="T54" s="40">
        <f t="shared" si="29"/>
        <v>105000</v>
      </c>
      <c r="U54" s="40">
        <f t="shared" si="29"/>
        <v>105000</v>
      </c>
      <c r="V54" s="40">
        <f t="shared" si="29"/>
        <v>105000</v>
      </c>
      <c r="W54" s="36">
        <f t="shared" ref="W54:W59" si="30">SUM(K54:V54)</f>
        <v>1260000</v>
      </c>
    </row>
    <row r="55" spans="8:49" x14ac:dyDescent="0.25">
      <c r="H55" s="382"/>
      <c r="I55" t="s">
        <v>69</v>
      </c>
      <c r="J55" s="34">
        <v>0.04</v>
      </c>
      <c r="K55" s="40">
        <f>+K46*$J$18</f>
        <v>140000</v>
      </c>
      <c r="L55" s="40">
        <f t="shared" ref="L55:V55" si="31">+L46*$J$18</f>
        <v>140000</v>
      </c>
      <c r="M55" s="40">
        <f t="shared" si="31"/>
        <v>140000</v>
      </c>
      <c r="N55" s="40">
        <f t="shared" si="31"/>
        <v>140000</v>
      </c>
      <c r="O55" s="40">
        <f t="shared" si="31"/>
        <v>140000</v>
      </c>
      <c r="P55" s="40">
        <f t="shared" si="31"/>
        <v>140000</v>
      </c>
      <c r="Q55" s="40">
        <f t="shared" si="31"/>
        <v>140000</v>
      </c>
      <c r="R55" s="40">
        <f t="shared" si="31"/>
        <v>140000</v>
      </c>
      <c r="S55" s="40">
        <f t="shared" si="31"/>
        <v>140000</v>
      </c>
      <c r="T55" s="40">
        <f t="shared" si="31"/>
        <v>140000</v>
      </c>
      <c r="U55" s="40">
        <f t="shared" si="31"/>
        <v>140000</v>
      </c>
      <c r="V55" s="40">
        <f t="shared" si="31"/>
        <v>140000</v>
      </c>
      <c r="W55" s="36">
        <f t="shared" si="30"/>
        <v>1680000</v>
      </c>
    </row>
    <row r="56" spans="8:49" x14ac:dyDescent="0.25">
      <c r="H56" s="379" t="s">
        <v>75</v>
      </c>
      <c r="I56" s="33" t="s">
        <v>71</v>
      </c>
      <c r="J56" s="38">
        <v>8.3299999999999999E-2</v>
      </c>
      <c r="K56" s="40">
        <f>+K46*$J$19</f>
        <v>291550</v>
      </c>
      <c r="L56" s="40">
        <f t="shared" ref="L56:V56" si="32">+L46*$J$19</f>
        <v>291550</v>
      </c>
      <c r="M56" s="40">
        <f t="shared" si="32"/>
        <v>291550</v>
      </c>
      <c r="N56" s="40">
        <f t="shared" si="32"/>
        <v>291550</v>
      </c>
      <c r="O56" s="40">
        <f t="shared" si="32"/>
        <v>291550</v>
      </c>
      <c r="P56" s="40">
        <f t="shared" si="32"/>
        <v>291550</v>
      </c>
      <c r="Q56" s="40">
        <f t="shared" si="32"/>
        <v>291550</v>
      </c>
      <c r="R56" s="40">
        <f t="shared" si="32"/>
        <v>291550</v>
      </c>
      <c r="S56" s="40">
        <f t="shared" si="32"/>
        <v>291550</v>
      </c>
      <c r="T56" s="40">
        <f t="shared" si="32"/>
        <v>291550</v>
      </c>
      <c r="U56" s="40">
        <f t="shared" si="32"/>
        <v>291550</v>
      </c>
      <c r="V56" s="40">
        <f t="shared" si="32"/>
        <v>291550</v>
      </c>
      <c r="W56" s="36">
        <f t="shared" si="30"/>
        <v>3498600</v>
      </c>
    </row>
    <row r="57" spans="8:49" x14ac:dyDescent="0.25">
      <c r="H57" s="382"/>
      <c r="I57" s="33" t="s">
        <v>72</v>
      </c>
      <c r="J57" s="38">
        <v>8.3299999999999999E-2</v>
      </c>
      <c r="K57" s="40">
        <f>+K46*$J$20</f>
        <v>291550</v>
      </c>
      <c r="L57" s="40">
        <f t="shared" ref="L57:V57" si="33">+L46*$J$20</f>
        <v>291550</v>
      </c>
      <c r="M57" s="40">
        <f t="shared" si="33"/>
        <v>291550</v>
      </c>
      <c r="N57" s="40">
        <f t="shared" si="33"/>
        <v>291550</v>
      </c>
      <c r="O57" s="40">
        <f t="shared" si="33"/>
        <v>291550</v>
      </c>
      <c r="P57" s="40">
        <f t="shared" si="33"/>
        <v>291550</v>
      </c>
      <c r="Q57" s="40">
        <f t="shared" si="33"/>
        <v>291550</v>
      </c>
      <c r="R57" s="40">
        <f t="shared" si="33"/>
        <v>291550</v>
      </c>
      <c r="S57" s="40">
        <f t="shared" si="33"/>
        <v>291550</v>
      </c>
      <c r="T57" s="40">
        <f t="shared" si="33"/>
        <v>291550</v>
      </c>
      <c r="U57" s="40">
        <f t="shared" si="33"/>
        <v>291550</v>
      </c>
      <c r="V57" s="40">
        <f t="shared" si="33"/>
        <v>291550</v>
      </c>
      <c r="W57" s="36">
        <f t="shared" si="30"/>
        <v>3498600</v>
      </c>
    </row>
    <row r="58" spans="8:49" x14ac:dyDescent="0.25">
      <c r="H58" s="382"/>
      <c r="I58" s="33" t="s">
        <v>73</v>
      </c>
      <c r="J58" s="38">
        <v>4.1700000000000001E-2</v>
      </c>
      <c r="K58" s="40">
        <f>+K46*$J$21</f>
        <v>145950</v>
      </c>
      <c r="L58" s="40">
        <f t="shared" ref="L58:V58" si="34">+L46*$J$21</f>
        <v>145950</v>
      </c>
      <c r="M58" s="40">
        <f t="shared" si="34"/>
        <v>145950</v>
      </c>
      <c r="N58" s="40">
        <f t="shared" si="34"/>
        <v>145950</v>
      </c>
      <c r="O58" s="40">
        <f t="shared" si="34"/>
        <v>145950</v>
      </c>
      <c r="P58" s="40">
        <f t="shared" si="34"/>
        <v>145950</v>
      </c>
      <c r="Q58" s="40">
        <f t="shared" si="34"/>
        <v>145950</v>
      </c>
      <c r="R58" s="40">
        <f t="shared" si="34"/>
        <v>145950</v>
      </c>
      <c r="S58" s="40">
        <f t="shared" si="34"/>
        <v>145950</v>
      </c>
      <c r="T58" s="40">
        <f t="shared" si="34"/>
        <v>145950</v>
      </c>
      <c r="U58" s="40">
        <f t="shared" si="34"/>
        <v>145950</v>
      </c>
      <c r="V58" s="40">
        <f t="shared" si="34"/>
        <v>145950</v>
      </c>
      <c r="W58" s="36">
        <f t="shared" si="30"/>
        <v>1751400</v>
      </c>
    </row>
    <row r="59" spans="8:49" x14ac:dyDescent="0.25">
      <c r="H59" s="382"/>
      <c r="I59" s="33" t="s">
        <v>74</v>
      </c>
      <c r="J59" s="37">
        <v>0.01</v>
      </c>
      <c r="K59" s="40">
        <f>+K46*$J$22</f>
        <v>35000</v>
      </c>
      <c r="L59" s="40">
        <f t="shared" ref="L59:V59" si="35">+L46*$J$22</f>
        <v>35000</v>
      </c>
      <c r="M59" s="40">
        <f t="shared" si="35"/>
        <v>35000</v>
      </c>
      <c r="N59" s="40">
        <f t="shared" si="35"/>
        <v>35000</v>
      </c>
      <c r="O59" s="40">
        <f t="shared" si="35"/>
        <v>35000</v>
      </c>
      <c r="P59" s="40">
        <f t="shared" si="35"/>
        <v>35000</v>
      </c>
      <c r="Q59" s="40">
        <f t="shared" si="35"/>
        <v>35000</v>
      </c>
      <c r="R59" s="40">
        <f t="shared" si="35"/>
        <v>35000</v>
      </c>
      <c r="S59" s="40">
        <f t="shared" si="35"/>
        <v>35000</v>
      </c>
      <c r="T59" s="40">
        <f t="shared" si="35"/>
        <v>35000</v>
      </c>
      <c r="U59" s="40">
        <f t="shared" si="35"/>
        <v>35000</v>
      </c>
      <c r="V59" s="40">
        <f t="shared" si="35"/>
        <v>35000</v>
      </c>
      <c r="W59" s="36">
        <f t="shared" si="30"/>
        <v>420000</v>
      </c>
    </row>
    <row r="63" spans="8:49" x14ac:dyDescent="0.25">
      <c r="I63" s="39" t="s">
        <v>65</v>
      </c>
      <c r="K63" s="25">
        <v>1</v>
      </c>
      <c r="L63" s="25">
        <v>2</v>
      </c>
      <c r="M63" s="25">
        <v>3</v>
      </c>
      <c r="N63" s="25">
        <v>4</v>
      </c>
      <c r="O63" s="25">
        <v>5</v>
      </c>
      <c r="P63" s="25">
        <v>6</v>
      </c>
      <c r="Q63" s="25">
        <v>7</v>
      </c>
      <c r="R63" s="25">
        <v>8</v>
      </c>
      <c r="S63" s="25">
        <v>9</v>
      </c>
      <c r="T63" s="25">
        <v>10</v>
      </c>
      <c r="U63" s="25">
        <v>11</v>
      </c>
      <c r="V63" s="25">
        <v>12</v>
      </c>
      <c r="W63" s="25" t="s">
        <v>64</v>
      </c>
      <c r="X63" s="25">
        <v>1</v>
      </c>
      <c r="Y63" s="25">
        <v>2</v>
      </c>
      <c r="Z63" s="25">
        <v>3</v>
      </c>
      <c r="AA63" s="25">
        <v>4</v>
      </c>
      <c r="AB63" s="25">
        <v>5</v>
      </c>
      <c r="AC63" s="25">
        <v>6</v>
      </c>
      <c r="AD63" s="25">
        <v>7</v>
      </c>
      <c r="AE63" s="25">
        <v>8</v>
      </c>
      <c r="AF63" s="25">
        <v>9</v>
      </c>
      <c r="AG63" s="25">
        <v>10</v>
      </c>
      <c r="AH63" s="25">
        <v>11</v>
      </c>
      <c r="AI63" s="25">
        <v>12</v>
      </c>
      <c r="AJ63" s="25" t="s">
        <v>51</v>
      </c>
      <c r="AK63" s="25">
        <v>1</v>
      </c>
      <c r="AL63" s="25">
        <v>2</v>
      </c>
      <c r="AM63" s="25">
        <v>3</v>
      </c>
      <c r="AN63" s="25">
        <v>4</v>
      </c>
      <c r="AO63" s="25">
        <v>5</v>
      </c>
      <c r="AP63" s="25">
        <v>6</v>
      </c>
      <c r="AQ63" s="25">
        <v>7</v>
      </c>
      <c r="AR63" s="25">
        <v>8</v>
      </c>
      <c r="AS63" s="25">
        <v>9</v>
      </c>
      <c r="AT63" s="25">
        <v>10</v>
      </c>
      <c r="AU63" s="25">
        <v>11</v>
      </c>
      <c r="AV63" s="25">
        <v>12</v>
      </c>
      <c r="AW63" s="25" t="s">
        <v>64</v>
      </c>
    </row>
    <row r="64" spans="8:49" x14ac:dyDescent="0.25">
      <c r="I64" s="26" t="s">
        <v>83</v>
      </c>
      <c r="J64" s="28" t="s">
        <v>82</v>
      </c>
      <c r="K64" s="24">
        <v>1000000</v>
      </c>
      <c r="L64" s="24">
        <v>1000000</v>
      </c>
      <c r="M64" s="24">
        <v>1000000</v>
      </c>
      <c r="N64" s="24">
        <v>1000000</v>
      </c>
      <c r="O64" s="24">
        <v>1000000</v>
      </c>
      <c r="P64" s="24">
        <v>1000000</v>
      </c>
      <c r="Q64" s="24">
        <v>1000000</v>
      </c>
      <c r="R64" s="24">
        <v>1000000</v>
      </c>
      <c r="S64" s="24">
        <v>1000000</v>
      </c>
      <c r="T64" s="24">
        <v>1000000</v>
      </c>
      <c r="U64" s="24">
        <v>1000000</v>
      </c>
      <c r="V64" s="24">
        <v>1000000</v>
      </c>
      <c r="W64" s="36">
        <f>SUM(K64:V64)</f>
        <v>12000000</v>
      </c>
    </row>
    <row r="65" spans="8:23" x14ac:dyDescent="0.25">
      <c r="H65" s="379" t="s">
        <v>78</v>
      </c>
      <c r="I65" t="s">
        <v>79</v>
      </c>
      <c r="J65" s="34">
        <v>0.04</v>
      </c>
      <c r="K65" s="24">
        <f>+K64*$J$10</f>
        <v>40000</v>
      </c>
      <c r="L65" s="24">
        <f t="shared" ref="L65:V65" si="36">+L64*$J$10</f>
        <v>40000</v>
      </c>
      <c r="M65" s="24">
        <f t="shared" si="36"/>
        <v>40000</v>
      </c>
      <c r="N65" s="24">
        <f t="shared" si="36"/>
        <v>40000</v>
      </c>
      <c r="O65" s="24">
        <f t="shared" si="36"/>
        <v>40000</v>
      </c>
      <c r="P65" s="24">
        <f t="shared" si="36"/>
        <v>40000</v>
      </c>
      <c r="Q65" s="24">
        <f t="shared" si="36"/>
        <v>40000</v>
      </c>
      <c r="R65" s="24">
        <f t="shared" si="36"/>
        <v>40000</v>
      </c>
      <c r="S65" s="24">
        <f t="shared" si="36"/>
        <v>40000</v>
      </c>
      <c r="T65" s="24">
        <f t="shared" si="36"/>
        <v>40000</v>
      </c>
      <c r="U65" s="24">
        <f t="shared" si="36"/>
        <v>40000</v>
      </c>
      <c r="V65" s="24">
        <f t="shared" si="36"/>
        <v>40000</v>
      </c>
      <c r="W65" s="36">
        <f>SUM(K65:V65)</f>
        <v>480000</v>
      </c>
    </row>
    <row r="66" spans="8:23" x14ac:dyDescent="0.25">
      <c r="H66" s="380"/>
      <c r="I66" t="s">
        <v>81</v>
      </c>
      <c r="J66" s="35">
        <v>8.5000000000000006E-2</v>
      </c>
      <c r="K66" s="24">
        <f>+K64*$J$11</f>
        <v>85000</v>
      </c>
      <c r="L66" s="24">
        <f t="shared" ref="L66:V66" si="37">+L64*$J$11</f>
        <v>85000</v>
      </c>
      <c r="M66" s="24">
        <f t="shared" si="37"/>
        <v>85000</v>
      </c>
      <c r="N66" s="24">
        <f t="shared" si="37"/>
        <v>85000</v>
      </c>
      <c r="O66" s="24">
        <f t="shared" si="37"/>
        <v>85000</v>
      </c>
      <c r="P66" s="24">
        <f t="shared" si="37"/>
        <v>85000</v>
      </c>
      <c r="Q66" s="24">
        <f t="shared" si="37"/>
        <v>85000</v>
      </c>
      <c r="R66" s="24">
        <f t="shared" si="37"/>
        <v>85000</v>
      </c>
      <c r="S66" s="24">
        <f t="shared" si="37"/>
        <v>85000</v>
      </c>
      <c r="T66" s="24">
        <f t="shared" si="37"/>
        <v>85000</v>
      </c>
      <c r="U66" s="24">
        <f t="shared" si="37"/>
        <v>85000</v>
      </c>
      <c r="V66" s="24">
        <f t="shared" si="37"/>
        <v>85000</v>
      </c>
      <c r="W66" s="36">
        <f>SUM(K66:V66)</f>
        <v>1020000</v>
      </c>
    </row>
    <row r="67" spans="8:23" x14ac:dyDescent="0.25">
      <c r="H67" s="380"/>
      <c r="I67" t="s">
        <v>76</v>
      </c>
      <c r="J67" s="34">
        <v>0.04</v>
      </c>
      <c r="K67" s="24">
        <f>+K64*$J$12</f>
        <v>40000</v>
      </c>
      <c r="L67" s="24">
        <f t="shared" ref="L67:V67" si="38">+L64*$J$12</f>
        <v>40000</v>
      </c>
      <c r="M67" s="24">
        <f t="shared" si="38"/>
        <v>40000</v>
      </c>
      <c r="N67" s="24">
        <f t="shared" si="38"/>
        <v>40000</v>
      </c>
      <c r="O67" s="24">
        <f t="shared" si="38"/>
        <v>40000</v>
      </c>
      <c r="P67" s="24">
        <f t="shared" si="38"/>
        <v>40000</v>
      </c>
      <c r="Q67" s="24">
        <f t="shared" si="38"/>
        <v>40000</v>
      </c>
      <c r="R67" s="24">
        <f t="shared" si="38"/>
        <v>40000</v>
      </c>
      <c r="S67" s="24">
        <f t="shared" si="38"/>
        <v>40000</v>
      </c>
      <c r="T67" s="24">
        <f t="shared" si="38"/>
        <v>40000</v>
      </c>
      <c r="U67" s="24">
        <f t="shared" si="38"/>
        <v>40000</v>
      </c>
      <c r="V67" s="24">
        <f t="shared" si="38"/>
        <v>40000</v>
      </c>
      <c r="W67" s="36">
        <f>SUM(K67:V67)</f>
        <v>480000</v>
      </c>
    </row>
    <row r="68" spans="8:23" x14ac:dyDescent="0.25">
      <c r="H68" s="380"/>
      <c r="I68" t="s">
        <v>77</v>
      </c>
      <c r="J68" s="34">
        <v>0.12</v>
      </c>
      <c r="K68" s="24">
        <f>+K64*$J$13</f>
        <v>120000</v>
      </c>
      <c r="L68" s="24">
        <f t="shared" ref="L68:V68" si="39">+L64*$J$13</f>
        <v>120000</v>
      </c>
      <c r="M68" s="24">
        <f t="shared" si="39"/>
        <v>120000</v>
      </c>
      <c r="N68" s="24">
        <f t="shared" si="39"/>
        <v>120000</v>
      </c>
      <c r="O68" s="24">
        <f t="shared" si="39"/>
        <v>120000</v>
      </c>
      <c r="P68" s="24">
        <f t="shared" si="39"/>
        <v>120000</v>
      </c>
      <c r="Q68" s="24">
        <f t="shared" si="39"/>
        <v>120000</v>
      </c>
      <c r="R68" s="24">
        <f t="shared" si="39"/>
        <v>120000</v>
      </c>
      <c r="S68" s="24">
        <f t="shared" si="39"/>
        <v>120000</v>
      </c>
      <c r="T68" s="24">
        <f t="shared" si="39"/>
        <v>120000</v>
      </c>
      <c r="U68" s="24">
        <f t="shared" si="39"/>
        <v>120000</v>
      </c>
      <c r="V68" s="24">
        <f t="shared" si="39"/>
        <v>120000</v>
      </c>
      <c r="W68" s="36">
        <f>SUM(K68:V68)</f>
        <v>1440000</v>
      </c>
    </row>
    <row r="69" spans="8:23" x14ac:dyDescent="0.25">
      <c r="H69" s="380"/>
      <c r="I69" t="s">
        <v>80</v>
      </c>
      <c r="W69" s="36">
        <f>SUM(W64:W68)</f>
        <v>15420000</v>
      </c>
    </row>
    <row r="70" spans="8:23" x14ac:dyDescent="0.25">
      <c r="H70" s="45"/>
    </row>
    <row r="71" spans="8:23" x14ac:dyDescent="0.25">
      <c r="H71" s="379" t="s">
        <v>70</v>
      </c>
      <c r="I71" t="s">
        <v>67</v>
      </c>
      <c r="J71" s="34">
        <v>0.02</v>
      </c>
      <c r="K71" s="40">
        <f>+K64*$J$16</f>
        <v>20000</v>
      </c>
      <c r="L71" s="40">
        <f t="shared" ref="L71:V71" si="40">+L64*$J$16</f>
        <v>20000</v>
      </c>
      <c r="M71" s="40">
        <f t="shared" si="40"/>
        <v>20000</v>
      </c>
      <c r="N71" s="40">
        <f t="shared" si="40"/>
        <v>20000</v>
      </c>
      <c r="O71" s="40">
        <f t="shared" si="40"/>
        <v>20000</v>
      </c>
      <c r="P71" s="40">
        <f t="shared" si="40"/>
        <v>20000</v>
      </c>
      <c r="Q71" s="40">
        <f t="shared" si="40"/>
        <v>20000</v>
      </c>
      <c r="R71" s="40">
        <f t="shared" si="40"/>
        <v>20000</v>
      </c>
      <c r="S71" s="40">
        <f t="shared" si="40"/>
        <v>20000</v>
      </c>
      <c r="T71" s="40">
        <f t="shared" si="40"/>
        <v>20000</v>
      </c>
      <c r="U71" s="40">
        <f t="shared" si="40"/>
        <v>20000</v>
      </c>
      <c r="V71" s="40">
        <f t="shared" si="40"/>
        <v>20000</v>
      </c>
      <c r="W71" s="36">
        <f>SUM(K71:V71)</f>
        <v>240000</v>
      </c>
    </row>
    <row r="72" spans="8:23" x14ac:dyDescent="0.25">
      <c r="H72" s="382"/>
      <c r="I72" t="s">
        <v>68</v>
      </c>
      <c r="J72" s="34">
        <v>0.03</v>
      </c>
      <c r="K72" s="40">
        <f>+K64*$J$17</f>
        <v>30000</v>
      </c>
      <c r="L72" s="40">
        <f t="shared" ref="L72:V72" si="41">+L64*$J$17</f>
        <v>30000</v>
      </c>
      <c r="M72" s="40">
        <f t="shared" si="41"/>
        <v>30000</v>
      </c>
      <c r="N72" s="40">
        <f t="shared" si="41"/>
        <v>30000</v>
      </c>
      <c r="O72" s="40">
        <f t="shared" si="41"/>
        <v>30000</v>
      </c>
      <c r="P72" s="40">
        <f t="shared" si="41"/>
        <v>30000</v>
      </c>
      <c r="Q72" s="40">
        <f t="shared" si="41"/>
        <v>30000</v>
      </c>
      <c r="R72" s="40">
        <f t="shared" si="41"/>
        <v>30000</v>
      </c>
      <c r="S72" s="40">
        <f t="shared" si="41"/>
        <v>30000</v>
      </c>
      <c r="T72" s="40">
        <f t="shared" si="41"/>
        <v>30000</v>
      </c>
      <c r="U72" s="40">
        <f t="shared" si="41"/>
        <v>30000</v>
      </c>
      <c r="V72" s="40">
        <f t="shared" si="41"/>
        <v>30000</v>
      </c>
      <c r="W72" s="36">
        <f t="shared" ref="W72:W77" si="42">SUM(K72:V72)</f>
        <v>360000</v>
      </c>
    </row>
    <row r="73" spans="8:23" x14ac:dyDescent="0.25">
      <c r="H73" s="382"/>
      <c r="I73" t="s">
        <v>69</v>
      </c>
      <c r="J73" s="34">
        <v>0.04</v>
      </c>
      <c r="K73" s="40">
        <f>+K64*$J$18</f>
        <v>40000</v>
      </c>
      <c r="L73" s="40">
        <f t="shared" ref="L73:V73" si="43">+L64*$J$18</f>
        <v>40000</v>
      </c>
      <c r="M73" s="40">
        <f t="shared" si="43"/>
        <v>40000</v>
      </c>
      <c r="N73" s="40">
        <f t="shared" si="43"/>
        <v>40000</v>
      </c>
      <c r="O73" s="40">
        <f t="shared" si="43"/>
        <v>40000</v>
      </c>
      <c r="P73" s="40">
        <f t="shared" si="43"/>
        <v>40000</v>
      </c>
      <c r="Q73" s="40">
        <f t="shared" si="43"/>
        <v>40000</v>
      </c>
      <c r="R73" s="40">
        <f t="shared" si="43"/>
        <v>40000</v>
      </c>
      <c r="S73" s="40">
        <f t="shared" si="43"/>
        <v>40000</v>
      </c>
      <c r="T73" s="40">
        <f t="shared" si="43"/>
        <v>40000</v>
      </c>
      <c r="U73" s="40">
        <f t="shared" si="43"/>
        <v>40000</v>
      </c>
      <c r="V73" s="40">
        <f t="shared" si="43"/>
        <v>40000</v>
      </c>
      <c r="W73" s="36">
        <f t="shared" si="42"/>
        <v>480000</v>
      </c>
    </row>
    <row r="74" spans="8:23" x14ac:dyDescent="0.25">
      <c r="H74" s="379" t="s">
        <v>75</v>
      </c>
      <c r="I74" s="33" t="s">
        <v>71</v>
      </c>
      <c r="J74" s="38">
        <v>8.3299999999999999E-2</v>
      </c>
      <c r="K74" s="40">
        <f>+K64*$J$19</f>
        <v>83300</v>
      </c>
      <c r="L74" s="40">
        <f t="shared" ref="L74:V74" si="44">+L64*$J$19</f>
        <v>83300</v>
      </c>
      <c r="M74" s="40">
        <f t="shared" si="44"/>
        <v>83300</v>
      </c>
      <c r="N74" s="40">
        <f t="shared" si="44"/>
        <v>83300</v>
      </c>
      <c r="O74" s="40">
        <f t="shared" si="44"/>
        <v>83300</v>
      </c>
      <c r="P74" s="40">
        <f t="shared" si="44"/>
        <v>83300</v>
      </c>
      <c r="Q74" s="40">
        <f t="shared" si="44"/>
        <v>83300</v>
      </c>
      <c r="R74" s="40">
        <f t="shared" si="44"/>
        <v>83300</v>
      </c>
      <c r="S74" s="40">
        <f t="shared" si="44"/>
        <v>83300</v>
      </c>
      <c r="T74" s="40">
        <f t="shared" si="44"/>
        <v>83300</v>
      </c>
      <c r="U74" s="40">
        <f t="shared" si="44"/>
        <v>83300</v>
      </c>
      <c r="V74" s="40">
        <f t="shared" si="44"/>
        <v>83300</v>
      </c>
      <c r="W74" s="36">
        <f t="shared" si="42"/>
        <v>999600</v>
      </c>
    </row>
    <row r="75" spans="8:23" x14ac:dyDescent="0.25">
      <c r="H75" s="382"/>
      <c r="I75" s="33" t="s">
        <v>72</v>
      </c>
      <c r="J75" s="38">
        <v>8.3299999999999999E-2</v>
      </c>
      <c r="K75" s="40">
        <f>+K64*$J$20</f>
        <v>83300</v>
      </c>
      <c r="L75" s="40">
        <f t="shared" ref="L75:V75" si="45">+L64*$J$20</f>
        <v>83300</v>
      </c>
      <c r="M75" s="40">
        <f t="shared" si="45"/>
        <v>83300</v>
      </c>
      <c r="N75" s="40">
        <f t="shared" si="45"/>
        <v>83300</v>
      </c>
      <c r="O75" s="40">
        <f t="shared" si="45"/>
        <v>83300</v>
      </c>
      <c r="P75" s="40">
        <f t="shared" si="45"/>
        <v>83300</v>
      </c>
      <c r="Q75" s="40">
        <f t="shared" si="45"/>
        <v>83300</v>
      </c>
      <c r="R75" s="40">
        <f t="shared" si="45"/>
        <v>83300</v>
      </c>
      <c r="S75" s="40">
        <f t="shared" si="45"/>
        <v>83300</v>
      </c>
      <c r="T75" s="40">
        <f t="shared" si="45"/>
        <v>83300</v>
      </c>
      <c r="U75" s="40">
        <f t="shared" si="45"/>
        <v>83300</v>
      </c>
      <c r="V75" s="40">
        <f t="shared" si="45"/>
        <v>83300</v>
      </c>
      <c r="W75" s="36">
        <f t="shared" si="42"/>
        <v>999600</v>
      </c>
    </row>
    <row r="76" spans="8:23" x14ac:dyDescent="0.25">
      <c r="H76" s="382"/>
      <c r="I76" s="33" t="s">
        <v>73</v>
      </c>
      <c r="J76" s="38">
        <v>4.1700000000000001E-2</v>
      </c>
      <c r="K76" s="40">
        <f>+K64*$J$21</f>
        <v>41700</v>
      </c>
      <c r="L76" s="40">
        <f t="shared" ref="L76:V76" si="46">+L64*$J$21</f>
        <v>41700</v>
      </c>
      <c r="M76" s="40">
        <f t="shared" si="46"/>
        <v>41700</v>
      </c>
      <c r="N76" s="40">
        <f t="shared" si="46"/>
        <v>41700</v>
      </c>
      <c r="O76" s="40">
        <f t="shared" si="46"/>
        <v>41700</v>
      </c>
      <c r="P76" s="40">
        <f t="shared" si="46"/>
        <v>41700</v>
      </c>
      <c r="Q76" s="40">
        <f t="shared" si="46"/>
        <v>41700</v>
      </c>
      <c r="R76" s="40">
        <f t="shared" si="46"/>
        <v>41700</v>
      </c>
      <c r="S76" s="40">
        <f t="shared" si="46"/>
        <v>41700</v>
      </c>
      <c r="T76" s="40">
        <f t="shared" si="46"/>
        <v>41700</v>
      </c>
      <c r="U76" s="40">
        <f t="shared" si="46"/>
        <v>41700</v>
      </c>
      <c r="V76" s="40">
        <f t="shared" si="46"/>
        <v>41700</v>
      </c>
      <c r="W76" s="36">
        <f t="shared" si="42"/>
        <v>500400</v>
      </c>
    </row>
    <row r="77" spans="8:23" x14ac:dyDescent="0.25">
      <c r="H77" s="382"/>
      <c r="I77" s="33" t="s">
        <v>74</v>
      </c>
      <c r="J77" s="37">
        <v>0.01</v>
      </c>
      <c r="K77" s="40">
        <f>+K64*$J$22</f>
        <v>10000</v>
      </c>
      <c r="L77" s="40">
        <f t="shared" ref="L77:V77" si="47">+L64*$J$22</f>
        <v>10000</v>
      </c>
      <c r="M77" s="40">
        <f t="shared" si="47"/>
        <v>10000</v>
      </c>
      <c r="N77" s="40">
        <f t="shared" si="47"/>
        <v>10000</v>
      </c>
      <c r="O77" s="40">
        <f t="shared" si="47"/>
        <v>10000</v>
      </c>
      <c r="P77" s="40">
        <f t="shared" si="47"/>
        <v>10000</v>
      </c>
      <c r="Q77" s="40">
        <f t="shared" si="47"/>
        <v>10000</v>
      </c>
      <c r="R77" s="40">
        <f t="shared" si="47"/>
        <v>10000</v>
      </c>
      <c r="S77" s="40">
        <f t="shared" si="47"/>
        <v>10000</v>
      </c>
      <c r="T77" s="40">
        <f t="shared" si="47"/>
        <v>10000</v>
      </c>
      <c r="U77" s="40">
        <f t="shared" si="47"/>
        <v>10000</v>
      </c>
      <c r="V77" s="40">
        <f t="shared" si="47"/>
        <v>10000</v>
      </c>
      <c r="W77" s="36">
        <f t="shared" si="42"/>
        <v>120000</v>
      </c>
    </row>
    <row r="78" spans="8:23" x14ac:dyDescent="0.25">
      <c r="W78" s="36">
        <f>SUM(W73:W77)</f>
        <v>3099600</v>
      </c>
    </row>
    <row r="81" spans="8:49" x14ac:dyDescent="0.25">
      <c r="I81" s="39" t="s">
        <v>65</v>
      </c>
      <c r="K81" s="25">
        <v>1</v>
      </c>
      <c r="L81" s="25">
        <v>2</v>
      </c>
      <c r="M81" s="25">
        <v>3</v>
      </c>
      <c r="N81" s="25">
        <v>4</v>
      </c>
      <c r="O81" s="25">
        <v>5</v>
      </c>
      <c r="P81" s="25">
        <v>6</v>
      </c>
      <c r="Q81" s="25">
        <v>7</v>
      </c>
      <c r="R81" s="25">
        <v>8</v>
      </c>
      <c r="S81" s="25">
        <v>9</v>
      </c>
      <c r="T81" s="25">
        <v>10</v>
      </c>
      <c r="U81" s="25">
        <v>11</v>
      </c>
      <c r="V81" s="25">
        <v>12</v>
      </c>
      <c r="W81" s="25" t="s">
        <v>64</v>
      </c>
      <c r="X81" s="25">
        <v>1</v>
      </c>
      <c r="Y81" s="25">
        <v>2</v>
      </c>
      <c r="Z81" s="25">
        <v>3</v>
      </c>
      <c r="AA81" s="25">
        <v>4</v>
      </c>
      <c r="AB81" s="25">
        <v>5</v>
      </c>
      <c r="AC81" s="25">
        <v>6</v>
      </c>
      <c r="AD81" s="25">
        <v>7</v>
      </c>
      <c r="AE81" s="25">
        <v>8</v>
      </c>
      <c r="AF81" s="25">
        <v>9</v>
      </c>
      <c r="AG81" s="25">
        <v>10</v>
      </c>
      <c r="AH81" s="25">
        <v>11</v>
      </c>
      <c r="AI81" s="25">
        <v>12</v>
      </c>
      <c r="AJ81" s="25" t="s">
        <v>51</v>
      </c>
      <c r="AK81" s="25">
        <v>1</v>
      </c>
      <c r="AL81" s="25">
        <v>2</v>
      </c>
      <c r="AM81" s="25">
        <v>3</v>
      </c>
      <c r="AN81" s="25">
        <v>4</v>
      </c>
      <c r="AO81" s="25">
        <v>5</v>
      </c>
      <c r="AP81" s="25">
        <v>6</v>
      </c>
      <c r="AQ81" s="25">
        <v>7</v>
      </c>
      <c r="AR81" s="25">
        <v>8</v>
      </c>
      <c r="AS81" s="25">
        <v>9</v>
      </c>
      <c r="AT81" s="25">
        <v>10</v>
      </c>
      <c r="AU81" s="25">
        <v>11</v>
      </c>
      <c r="AV81" s="25">
        <v>12</v>
      </c>
      <c r="AW81" s="25" t="s">
        <v>64</v>
      </c>
    </row>
    <row r="82" spans="8:49" x14ac:dyDescent="0.25">
      <c r="I82" s="26" t="s">
        <v>85</v>
      </c>
      <c r="J82" s="28" t="s">
        <v>82</v>
      </c>
      <c r="K82" s="24">
        <v>800000</v>
      </c>
      <c r="L82" s="24">
        <v>800000</v>
      </c>
      <c r="M82" s="24">
        <v>800000</v>
      </c>
      <c r="N82" s="24">
        <v>800000</v>
      </c>
      <c r="O82" s="24">
        <v>800000</v>
      </c>
      <c r="P82" s="24">
        <v>800000</v>
      </c>
      <c r="Q82" s="24">
        <v>800000</v>
      </c>
      <c r="R82" s="24">
        <v>800000</v>
      </c>
      <c r="S82" s="24">
        <v>800000</v>
      </c>
      <c r="T82" s="24">
        <v>800000</v>
      </c>
      <c r="U82" s="24">
        <v>800000</v>
      </c>
      <c r="V82" s="24">
        <v>800000</v>
      </c>
      <c r="W82" s="36">
        <f>SUM(K82:V82)</f>
        <v>9600000</v>
      </c>
    </row>
    <row r="83" spans="8:49" ht="15" customHeight="1" x14ac:dyDescent="0.25">
      <c r="H83" s="379" t="s">
        <v>78</v>
      </c>
      <c r="I83" t="s">
        <v>79</v>
      </c>
      <c r="J83" s="34">
        <v>0.04</v>
      </c>
      <c r="K83" s="24">
        <f>+K82*$J$10</f>
        <v>32000</v>
      </c>
      <c r="L83" s="24">
        <f t="shared" ref="L83:V83" si="48">+L82*$J$10</f>
        <v>32000</v>
      </c>
      <c r="M83" s="24">
        <f t="shared" si="48"/>
        <v>32000</v>
      </c>
      <c r="N83" s="24">
        <f t="shared" si="48"/>
        <v>32000</v>
      </c>
      <c r="O83" s="24">
        <f t="shared" si="48"/>
        <v>32000</v>
      </c>
      <c r="P83" s="24">
        <f t="shared" si="48"/>
        <v>32000</v>
      </c>
      <c r="Q83" s="24">
        <f t="shared" si="48"/>
        <v>32000</v>
      </c>
      <c r="R83" s="24">
        <f t="shared" si="48"/>
        <v>32000</v>
      </c>
      <c r="S83" s="24">
        <f t="shared" si="48"/>
        <v>32000</v>
      </c>
      <c r="T83" s="24">
        <f t="shared" si="48"/>
        <v>32000</v>
      </c>
      <c r="U83" s="24">
        <f t="shared" si="48"/>
        <v>32000</v>
      </c>
      <c r="V83" s="24">
        <f t="shared" si="48"/>
        <v>32000</v>
      </c>
      <c r="W83" s="36">
        <f>SUM(K83:V83)</f>
        <v>384000</v>
      </c>
    </row>
    <row r="84" spans="8:49" x14ac:dyDescent="0.25">
      <c r="H84" s="380"/>
      <c r="I84" t="s">
        <v>81</v>
      </c>
      <c r="J84" s="35">
        <v>8.5000000000000006E-2</v>
      </c>
      <c r="K84" s="24">
        <f>+K82*$J$11</f>
        <v>68000</v>
      </c>
      <c r="L84" s="24">
        <f t="shared" ref="L84:V84" si="49">+L82*$J$11</f>
        <v>68000</v>
      </c>
      <c r="M84" s="24">
        <f t="shared" si="49"/>
        <v>68000</v>
      </c>
      <c r="N84" s="24">
        <f t="shared" si="49"/>
        <v>68000</v>
      </c>
      <c r="O84" s="24">
        <f t="shared" si="49"/>
        <v>68000</v>
      </c>
      <c r="P84" s="24">
        <f t="shared" si="49"/>
        <v>68000</v>
      </c>
      <c r="Q84" s="24">
        <f t="shared" si="49"/>
        <v>68000</v>
      </c>
      <c r="R84" s="24">
        <f t="shared" si="49"/>
        <v>68000</v>
      </c>
      <c r="S84" s="24">
        <f t="shared" si="49"/>
        <v>68000</v>
      </c>
      <c r="T84" s="24">
        <f t="shared" si="49"/>
        <v>68000</v>
      </c>
      <c r="U84" s="24">
        <f t="shared" si="49"/>
        <v>68000</v>
      </c>
      <c r="V84" s="24">
        <f t="shared" si="49"/>
        <v>68000</v>
      </c>
      <c r="W84" s="36">
        <f>SUM(K84:V84)</f>
        <v>816000</v>
      </c>
    </row>
    <row r="85" spans="8:49" x14ac:dyDescent="0.25">
      <c r="H85" s="380"/>
      <c r="I85" t="s">
        <v>76</v>
      </c>
      <c r="J85" s="34">
        <v>0.04</v>
      </c>
      <c r="K85" s="24">
        <f>+K82*$J$12</f>
        <v>32000</v>
      </c>
      <c r="L85" s="24">
        <f t="shared" ref="L85:V85" si="50">+L82*$J$12</f>
        <v>32000</v>
      </c>
      <c r="M85" s="24">
        <f t="shared" si="50"/>
        <v>32000</v>
      </c>
      <c r="N85" s="24">
        <f t="shared" si="50"/>
        <v>32000</v>
      </c>
      <c r="O85" s="24">
        <f t="shared" si="50"/>
        <v>32000</v>
      </c>
      <c r="P85" s="24">
        <f t="shared" si="50"/>
        <v>32000</v>
      </c>
      <c r="Q85" s="24">
        <f t="shared" si="50"/>
        <v>32000</v>
      </c>
      <c r="R85" s="24">
        <f t="shared" si="50"/>
        <v>32000</v>
      </c>
      <c r="S85" s="24">
        <f t="shared" si="50"/>
        <v>32000</v>
      </c>
      <c r="T85" s="24">
        <f t="shared" si="50"/>
        <v>32000</v>
      </c>
      <c r="U85" s="24">
        <f t="shared" si="50"/>
        <v>32000</v>
      </c>
      <c r="V85" s="24">
        <f t="shared" si="50"/>
        <v>32000</v>
      </c>
      <c r="W85" s="36">
        <f>SUM(K85:V85)</f>
        <v>384000</v>
      </c>
    </row>
    <row r="86" spans="8:49" x14ac:dyDescent="0.25">
      <c r="H86" s="380"/>
      <c r="I86" t="s">
        <v>77</v>
      </c>
      <c r="J86" s="34">
        <v>0.12</v>
      </c>
      <c r="K86" s="24">
        <f>+K82*$J$13</f>
        <v>96000</v>
      </c>
      <c r="L86" s="24">
        <f t="shared" ref="L86:V86" si="51">+L82*$J$13</f>
        <v>96000</v>
      </c>
      <c r="M86" s="24">
        <f t="shared" si="51"/>
        <v>96000</v>
      </c>
      <c r="N86" s="24">
        <f t="shared" si="51"/>
        <v>96000</v>
      </c>
      <c r="O86" s="24">
        <f t="shared" si="51"/>
        <v>96000</v>
      </c>
      <c r="P86" s="24">
        <f t="shared" si="51"/>
        <v>96000</v>
      </c>
      <c r="Q86" s="24">
        <f t="shared" si="51"/>
        <v>96000</v>
      </c>
      <c r="R86" s="24">
        <f t="shared" si="51"/>
        <v>96000</v>
      </c>
      <c r="S86" s="24">
        <f t="shared" si="51"/>
        <v>96000</v>
      </c>
      <c r="T86" s="24">
        <f t="shared" si="51"/>
        <v>96000</v>
      </c>
      <c r="U86" s="24">
        <f t="shared" si="51"/>
        <v>96000</v>
      </c>
      <c r="V86" s="24">
        <f t="shared" si="51"/>
        <v>96000</v>
      </c>
      <c r="W86" s="36">
        <f>SUM(K86:V86)</f>
        <v>1152000</v>
      </c>
    </row>
    <row r="87" spans="8:49" x14ac:dyDescent="0.25">
      <c r="H87" s="380"/>
      <c r="I87" t="s">
        <v>80</v>
      </c>
      <c r="W87" s="36">
        <f>SUM(W82:W86)</f>
        <v>12336000</v>
      </c>
    </row>
    <row r="88" spans="8:49" x14ac:dyDescent="0.25">
      <c r="H88" s="45"/>
    </row>
    <row r="89" spans="8:49" ht="15" customHeight="1" x14ac:dyDescent="0.25">
      <c r="H89" s="379" t="s">
        <v>70</v>
      </c>
      <c r="I89" t="s">
        <v>67</v>
      </c>
      <c r="J89" s="34">
        <v>0.02</v>
      </c>
      <c r="K89" s="40">
        <f>+K82*$J$16</f>
        <v>16000</v>
      </c>
      <c r="L89" s="40">
        <f t="shared" ref="L89:V89" si="52">+L82*$J$16</f>
        <v>16000</v>
      </c>
      <c r="M89" s="40">
        <f t="shared" si="52"/>
        <v>16000</v>
      </c>
      <c r="N89" s="40">
        <f t="shared" si="52"/>
        <v>16000</v>
      </c>
      <c r="O89" s="40">
        <f t="shared" si="52"/>
        <v>16000</v>
      </c>
      <c r="P89" s="40">
        <f t="shared" si="52"/>
        <v>16000</v>
      </c>
      <c r="Q89" s="40">
        <f t="shared" si="52"/>
        <v>16000</v>
      </c>
      <c r="R89" s="40">
        <f t="shared" si="52"/>
        <v>16000</v>
      </c>
      <c r="S89" s="40">
        <f t="shared" si="52"/>
        <v>16000</v>
      </c>
      <c r="T89" s="40">
        <f t="shared" si="52"/>
        <v>16000</v>
      </c>
      <c r="U89" s="40">
        <f t="shared" si="52"/>
        <v>16000</v>
      </c>
      <c r="V89" s="40">
        <f t="shared" si="52"/>
        <v>16000</v>
      </c>
      <c r="W89" s="36">
        <f>SUM(K89:V89)</f>
        <v>192000</v>
      </c>
    </row>
    <row r="90" spans="8:49" x14ac:dyDescent="0.25">
      <c r="H90" s="382"/>
      <c r="I90" t="s">
        <v>68</v>
      </c>
      <c r="J90" s="34">
        <v>0.03</v>
      </c>
      <c r="K90" s="40">
        <f>+K82*$J$17</f>
        <v>24000</v>
      </c>
      <c r="L90" s="40">
        <f t="shared" ref="L90:V90" si="53">+L82*$J$17</f>
        <v>24000</v>
      </c>
      <c r="M90" s="40">
        <f t="shared" si="53"/>
        <v>24000</v>
      </c>
      <c r="N90" s="40">
        <f t="shared" si="53"/>
        <v>24000</v>
      </c>
      <c r="O90" s="40">
        <f t="shared" si="53"/>
        <v>24000</v>
      </c>
      <c r="P90" s="40">
        <f t="shared" si="53"/>
        <v>24000</v>
      </c>
      <c r="Q90" s="40">
        <f t="shared" si="53"/>
        <v>24000</v>
      </c>
      <c r="R90" s="40">
        <f t="shared" si="53"/>
        <v>24000</v>
      </c>
      <c r="S90" s="40">
        <f t="shared" si="53"/>
        <v>24000</v>
      </c>
      <c r="T90" s="40">
        <f t="shared" si="53"/>
        <v>24000</v>
      </c>
      <c r="U90" s="40">
        <f t="shared" si="53"/>
        <v>24000</v>
      </c>
      <c r="V90" s="40">
        <f t="shared" si="53"/>
        <v>24000</v>
      </c>
      <c r="W90" s="36">
        <f t="shared" ref="W90:W95" si="54">SUM(K90:V90)</f>
        <v>288000</v>
      </c>
    </row>
    <row r="91" spans="8:49" x14ac:dyDescent="0.25">
      <c r="H91" s="382"/>
      <c r="I91" t="s">
        <v>69</v>
      </c>
      <c r="J91" s="34">
        <v>0.04</v>
      </c>
      <c r="K91" s="40">
        <f>+K82*$J$18</f>
        <v>32000</v>
      </c>
      <c r="L91" s="40">
        <f t="shared" ref="L91:V91" si="55">+L82*$J$18</f>
        <v>32000</v>
      </c>
      <c r="M91" s="40">
        <f t="shared" si="55"/>
        <v>32000</v>
      </c>
      <c r="N91" s="40">
        <f t="shared" si="55"/>
        <v>32000</v>
      </c>
      <c r="O91" s="40">
        <f t="shared" si="55"/>
        <v>32000</v>
      </c>
      <c r="P91" s="40">
        <f t="shared" si="55"/>
        <v>32000</v>
      </c>
      <c r="Q91" s="40">
        <f t="shared" si="55"/>
        <v>32000</v>
      </c>
      <c r="R91" s="40">
        <f t="shared" si="55"/>
        <v>32000</v>
      </c>
      <c r="S91" s="40">
        <f t="shared" si="55"/>
        <v>32000</v>
      </c>
      <c r="T91" s="40">
        <f t="shared" si="55"/>
        <v>32000</v>
      </c>
      <c r="U91" s="40">
        <f t="shared" si="55"/>
        <v>32000</v>
      </c>
      <c r="V91" s="40">
        <f t="shared" si="55"/>
        <v>32000</v>
      </c>
      <c r="W91" s="36">
        <f t="shared" si="54"/>
        <v>384000</v>
      </c>
    </row>
    <row r="92" spans="8:49" ht="15" customHeight="1" x14ac:dyDescent="0.25">
      <c r="H92" s="379" t="s">
        <v>75</v>
      </c>
      <c r="I92" s="33" t="s">
        <v>71</v>
      </c>
      <c r="J92" s="38">
        <v>8.3299999999999999E-2</v>
      </c>
      <c r="K92" s="40">
        <f>+K82*$J$19</f>
        <v>66640</v>
      </c>
      <c r="L92" s="40">
        <f t="shared" ref="L92:V92" si="56">+L82*$J$19</f>
        <v>66640</v>
      </c>
      <c r="M92" s="40">
        <f t="shared" si="56"/>
        <v>66640</v>
      </c>
      <c r="N92" s="40">
        <f t="shared" si="56"/>
        <v>66640</v>
      </c>
      <c r="O92" s="40">
        <f t="shared" si="56"/>
        <v>66640</v>
      </c>
      <c r="P92" s="40">
        <f t="shared" si="56"/>
        <v>66640</v>
      </c>
      <c r="Q92" s="40">
        <f t="shared" si="56"/>
        <v>66640</v>
      </c>
      <c r="R92" s="40">
        <f t="shared" si="56"/>
        <v>66640</v>
      </c>
      <c r="S92" s="40">
        <f t="shared" si="56"/>
        <v>66640</v>
      </c>
      <c r="T92" s="40">
        <f t="shared" si="56"/>
        <v>66640</v>
      </c>
      <c r="U92" s="40">
        <f t="shared" si="56"/>
        <v>66640</v>
      </c>
      <c r="V92" s="40">
        <f t="shared" si="56"/>
        <v>66640</v>
      </c>
      <c r="W92" s="36">
        <f t="shared" si="54"/>
        <v>799680</v>
      </c>
    </row>
    <row r="93" spans="8:49" x14ac:dyDescent="0.25">
      <c r="H93" s="382"/>
      <c r="I93" s="33" t="s">
        <v>72</v>
      </c>
      <c r="J93" s="38">
        <v>8.3299999999999999E-2</v>
      </c>
      <c r="K93" s="40">
        <f>+K82*$J$20</f>
        <v>66640</v>
      </c>
      <c r="L93" s="40">
        <f t="shared" ref="L93:V93" si="57">+L82*$J$20</f>
        <v>66640</v>
      </c>
      <c r="M93" s="40">
        <f t="shared" si="57"/>
        <v>66640</v>
      </c>
      <c r="N93" s="40">
        <f t="shared" si="57"/>
        <v>66640</v>
      </c>
      <c r="O93" s="40">
        <f t="shared" si="57"/>
        <v>66640</v>
      </c>
      <c r="P93" s="40">
        <f t="shared" si="57"/>
        <v>66640</v>
      </c>
      <c r="Q93" s="40">
        <f t="shared" si="57"/>
        <v>66640</v>
      </c>
      <c r="R93" s="40">
        <f t="shared" si="57"/>
        <v>66640</v>
      </c>
      <c r="S93" s="40">
        <f t="shared" si="57"/>
        <v>66640</v>
      </c>
      <c r="T93" s="40">
        <f t="shared" si="57"/>
        <v>66640</v>
      </c>
      <c r="U93" s="40">
        <f t="shared" si="57"/>
        <v>66640</v>
      </c>
      <c r="V93" s="40">
        <f t="shared" si="57"/>
        <v>66640</v>
      </c>
      <c r="W93" s="36">
        <f t="shared" si="54"/>
        <v>799680</v>
      </c>
    </row>
    <row r="94" spans="8:49" x14ac:dyDescent="0.25">
      <c r="H94" s="382"/>
      <c r="I94" s="33" t="s">
        <v>73</v>
      </c>
      <c r="J94" s="38">
        <v>4.1700000000000001E-2</v>
      </c>
      <c r="K94" s="40">
        <f>+K82*$J$21</f>
        <v>33360</v>
      </c>
      <c r="L94" s="40">
        <f t="shared" ref="L94:V94" si="58">+L82*$J$21</f>
        <v>33360</v>
      </c>
      <c r="M94" s="40">
        <f t="shared" si="58"/>
        <v>33360</v>
      </c>
      <c r="N94" s="40">
        <f t="shared" si="58"/>
        <v>33360</v>
      </c>
      <c r="O94" s="40">
        <f t="shared" si="58"/>
        <v>33360</v>
      </c>
      <c r="P94" s="40">
        <f t="shared" si="58"/>
        <v>33360</v>
      </c>
      <c r="Q94" s="40">
        <f t="shared" si="58"/>
        <v>33360</v>
      </c>
      <c r="R94" s="40">
        <f t="shared" si="58"/>
        <v>33360</v>
      </c>
      <c r="S94" s="40">
        <f t="shared" si="58"/>
        <v>33360</v>
      </c>
      <c r="T94" s="40">
        <f t="shared" si="58"/>
        <v>33360</v>
      </c>
      <c r="U94" s="40">
        <f t="shared" si="58"/>
        <v>33360</v>
      </c>
      <c r="V94" s="40">
        <f t="shared" si="58"/>
        <v>33360</v>
      </c>
      <c r="W94" s="36">
        <f t="shared" si="54"/>
        <v>400320</v>
      </c>
    </row>
    <row r="95" spans="8:49" x14ac:dyDescent="0.25">
      <c r="H95" s="382"/>
      <c r="I95" s="33" t="s">
        <v>74</v>
      </c>
      <c r="J95" s="37">
        <v>0.01</v>
      </c>
      <c r="K95" s="40">
        <f>+K82*$J$22</f>
        <v>8000</v>
      </c>
      <c r="L95" s="40">
        <f t="shared" ref="L95:V95" si="59">+L82*$J$22</f>
        <v>8000</v>
      </c>
      <c r="M95" s="40">
        <f t="shared" si="59"/>
        <v>8000</v>
      </c>
      <c r="N95" s="40">
        <f t="shared" si="59"/>
        <v>8000</v>
      </c>
      <c r="O95" s="40">
        <f t="shared" si="59"/>
        <v>8000</v>
      </c>
      <c r="P95" s="40">
        <f t="shared" si="59"/>
        <v>8000</v>
      </c>
      <c r="Q95" s="40">
        <f t="shared" si="59"/>
        <v>8000</v>
      </c>
      <c r="R95" s="40">
        <f t="shared" si="59"/>
        <v>8000</v>
      </c>
      <c r="S95" s="40">
        <f t="shared" si="59"/>
        <v>8000</v>
      </c>
      <c r="T95" s="40">
        <f t="shared" si="59"/>
        <v>8000</v>
      </c>
      <c r="U95" s="40">
        <f t="shared" si="59"/>
        <v>8000</v>
      </c>
      <c r="V95" s="40">
        <f t="shared" si="59"/>
        <v>8000</v>
      </c>
      <c r="W95" s="36">
        <f t="shared" si="54"/>
        <v>96000</v>
      </c>
    </row>
  </sheetData>
  <mergeCells count="17">
    <mergeCell ref="H71:H73"/>
    <mergeCell ref="H74:H77"/>
    <mergeCell ref="H83:H87"/>
    <mergeCell ref="H89:H91"/>
    <mergeCell ref="H92:H95"/>
    <mergeCell ref="H65:H69"/>
    <mergeCell ref="C4:F4"/>
    <mergeCell ref="H10:H14"/>
    <mergeCell ref="H16:H18"/>
    <mergeCell ref="H19:H22"/>
    <mergeCell ref="C20:F20"/>
    <mergeCell ref="H28:H32"/>
    <mergeCell ref="H34:H36"/>
    <mergeCell ref="H37:H40"/>
    <mergeCell ref="H47:H51"/>
    <mergeCell ref="H53:H55"/>
    <mergeCell ref="H56:H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EEFF</vt:lpstr>
      <vt:lpstr>FLUJO CAJA</vt:lpstr>
      <vt:lpstr>FLUJO CAJA LIBRE</vt:lpstr>
      <vt:lpstr>RAZONES FIN.</vt:lpstr>
      <vt:lpstr>VALOR RES.</vt:lpstr>
      <vt:lpstr>WACC</vt:lpstr>
      <vt:lpstr>INGRESOS </vt:lpstr>
      <vt:lpstr>NOMINA</vt:lpstr>
      <vt:lpstr>NOMINA (2)</vt:lpstr>
      <vt:lpstr>NOMINA (3)</vt:lpstr>
      <vt:lpstr>VEHICULOS </vt:lpstr>
      <vt:lpstr>ADMINISTRATIVOS</vt:lpstr>
      <vt:lpstr>FINANCIACION</vt:lpstr>
      <vt:lpstr>PRECIO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Man</dc:creator>
  <cp:lastModifiedBy>Nassyr Majana</cp:lastModifiedBy>
  <dcterms:created xsi:type="dcterms:W3CDTF">2012-01-14T01:35:33Z</dcterms:created>
  <dcterms:modified xsi:type="dcterms:W3CDTF">2012-08-24T20:43:37Z</dcterms:modified>
</cp:coreProperties>
</file>